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ubian\OneDrive - mme.gov.br\Área de Trabalho\OneDrive - mme.gov.br\PCTIC\Outsourcing Impressão\Levantamento Contrato Atual\"/>
    </mc:Choice>
  </mc:AlternateContent>
  <bookViews>
    <workbookView xWindow="0" yWindow="-120" windowWidth="8430" windowHeight="6990" tabRatio="599" activeTab="4"/>
  </bookViews>
  <sheets>
    <sheet name="Contrato 29-2018" sheetId="1" r:id="rId1"/>
    <sheet name="Histórico Consumo CT 29.2018" sheetId="17" r:id="rId2"/>
    <sheet name="Distribuição atual por setor" sheetId="5" r:id="rId3"/>
    <sheet name="Proposta de Distribuição" sheetId="11" r:id="rId4"/>
    <sheet name="Pesquisa de Preços para ETP" sheetId="14" r:id="rId5"/>
    <sheet name="Contrato X Consumo" sheetId="10" r:id="rId6"/>
    <sheet name="Qtde usuários MME" sheetId="6" r:id="rId7"/>
    <sheet name="Movimentações Físicas" sheetId="4" r:id="rId8"/>
  </sheets>
  <definedNames>
    <definedName name="_xlnm._FilterDatabase" localSheetId="0" hidden="1">'Contrato 29-2018'!$A$6:$AJ$68</definedName>
    <definedName name="_xlnm.Print_Area" localSheetId="0">'Contrato 29-2018'!$A$1:$AR$72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" i="14" l="1"/>
  <c r="K28" i="14" s="1"/>
  <c r="K24" i="14"/>
  <c r="K25" i="14"/>
  <c r="K26" i="14"/>
  <c r="K27" i="14"/>
  <c r="K22" i="14"/>
  <c r="K15" i="14"/>
  <c r="K16" i="14"/>
  <c r="K14" i="14"/>
  <c r="K17" i="14" l="1"/>
  <c r="G9" i="14"/>
  <c r="G6" i="14"/>
  <c r="K8" i="14" l="1"/>
  <c r="J8" i="14" l="1"/>
  <c r="I27" i="14"/>
  <c r="J27" i="14" s="1"/>
  <c r="I16" i="14"/>
  <c r="J16" i="14" s="1"/>
  <c r="E7" i="14"/>
  <c r="E6" i="14"/>
  <c r="M6" i="14" s="1"/>
  <c r="E5" i="14"/>
  <c r="E4" i="14"/>
  <c r="G16" i="14"/>
  <c r="F16" i="14"/>
  <c r="G27" i="14"/>
  <c r="F27" i="14"/>
  <c r="N9" i="14"/>
  <c r="O9" i="14"/>
  <c r="N8" i="14"/>
  <c r="E9" i="14"/>
  <c r="E8" i="14"/>
  <c r="F53" i="17"/>
  <c r="C56" i="17"/>
  <c r="F54" i="17"/>
  <c r="G53" i="17"/>
  <c r="B56" i="17"/>
  <c r="B54" i="17"/>
  <c r="D54" i="17" s="1"/>
  <c r="C53" i="17"/>
  <c r="B53" i="17"/>
  <c r="D53" i="17" s="1"/>
  <c r="E53" i="17"/>
  <c r="F9" i="14" l="1"/>
  <c r="I9" i="14"/>
  <c r="O8" i="14"/>
  <c r="F8" i="14"/>
  <c r="J9" i="14" l="1"/>
  <c r="K9" i="14"/>
  <c r="G15" i="14" l="1"/>
  <c r="G14" i="14"/>
  <c r="G23" i="14"/>
  <c r="G24" i="14"/>
  <c r="G25" i="14"/>
  <c r="G26" i="14"/>
  <c r="G22" i="14"/>
  <c r="G5" i="14"/>
  <c r="G4" i="14"/>
  <c r="F23" i="14" l="1"/>
  <c r="F24" i="14"/>
  <c r="F25" i="14"/>
  <c r="F26" i="14"/>
  <c r="C42" i="17"/>
  <c r="B42" i="17"/>
  <c r="I50" i="11"/>
  <c r="J50" i="11"/>
  <c r="H50" i="11"/>
  <c r="E50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B51" i="11"/>
  <c r="C51" i="11"/>
  <c r="D51" i="11"/>
  <c r="E18" i="5"/>
  <c r="D18" i="5"/>
  <c r="C18" i="5"/>
  <c r="C19" i="5" s="1"/>
  <c r="C20" i="17"/>
  <c r="E20" i="17" s="1"/>
  <c r="B20" i="17"/>
  <c r="D20" i="17" s="1"/>
  <c r="C40" i="17"/>
  <c r="C41" i="17" s="1"/>
  <c r="B40" i="17"/>
  <c r="B41" i="17" s="1"/>
  <c r="F18" i="17"/>
  <c r="B18" i="17"/>
  <c r="B19" i="17" s="1"/>
  <c r="B46" i="17" s="1"/>
  <c r="C18" i="17"/>
  <c r="C19" i="17" s="1"/>
  <c r="AR70" i="1"/>
  <c r="AQ70" i="1"/>
  <c r="AP70" i="1"/>
  <c r="AO70" i="1"/>
  <c r="AL70" i="1"/>
  <c r="AL71" i="1" s="1"/>
  <c r="AN71" i="1" s="1"/>
  <c r="D6" i="10" s="1"/>
  <c r="AK70" i="1"/>
  <c r="AM70" i="1" s="1"/>
  <c r="AQ66" i="1"/>
  <c r="AQ67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33" i="1"/>
  <c r="AQ34" i="1"/>
  <c r="AQ35" i="1"/>
  <c r="AQ37" i="1"/>
  <c r="AQ38" i="1"/>
  <c r="AQ39" i="1"/>
  <c r="AQ40" i="1"/>
  <c r="AQ41" i="1"/>
  <c r="AQ42" i="1"/>
  <c r="AQ43" i="1"/>
  <c r="AQ44" i="1"/>
  <c r="AQ45" i="1"/>
  <c r="AQ47" i="1"/>
  <c r="AQ48" i="1"/>
  <c r="AQ49" i="1"/>
  <c r="AQ50" i="1"/>
  <c r="AQ51" i="1"/>
  <c r="AQ52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7" i="1"/>
  <c r="AP38" i="1"/>
  <c r="AP39" i="1"/>
  <c r="AP40" i="1"/>
  <c r="AP41" i="1"/>
  <c r="AP42" i="1"/>
  <c r="AP43" i="1"/>
  <c r="AP44" i="1"/>
  <c r="AP45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7" i="1"/>
  <c r="AR38" i="1"/>
  <c r="AR39" i="1"/>
  <c r="AR40" i="1"/>
  <c r="AR41" i="1"/>
  <c r="AR42" i="1"/>
  <c r="AR43" i="1"/>
  <c r="AR44" i="1"/>
  <c r="AR45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7" i="1"/>
  <c r="AP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7" i="1"/>
  <c r="AO38" i="1"/>
  <c r="AO39" i="1"/>
  <c r="AO40" i="1"/>
  <c r="AO41" i="1"/>
  <c r="AO42" i="1"/>
  <c r="AO43" i="1"/>
  <c r="AO44" i="1"/>
  <c r="AO45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7" i="1"/>
  <c r="AL8" i="1"/>
  <c r="AN8" i="1" s="1"/>
  <c r="AL9" i="1"/>
  <c r="AN9" i="1" s="1"/>
  <c r="AL10" i="1"/>
  <c r="AN10" i="1" s="1"/>
  <c r="AL11" i="1"/>
  <c r="AN11" i="1" s="1"/>
  <c r="AL12" i="1"/>
  <c r="AN12" i="1" s="1"/>
  <c r="AL13" i="1"/>
  <c r="AN13" i="1" s="1"/>
  <c r="AL14" i="1"/>
  <c r="AN14" i="1" s="1"/>
  <c r="AL15" i="1"/>
  <c r="AN15" i="1" s="1"/>
  <c r="AL16" i="1"/>
  <c r="AN16" i="1" s="1"/>
  <c r="AL17" i="1"/>
  <c r="AN17" i="1" s="1"/>
  <c r="AL18" i="1"/>
  <c r="AN18" i="1" s="1"/>
  <c r="AL19" i="1"/>
  <c r="AN19" i="1" s="1"/>
  <c r="AL20" i="1"/>
  <c r="AN20" i="1" s="1"/>
  <c r="AL21" i="1"/>
  <c r="AN21" i="1" s="1"/>
  <c r="AL22" i="1"/>
  <c r="AN22" i="1" s="1"/>
  <c r="AL23" i="1"/>
  <c r="AN23" i="1" s="1"/>
  <c r="AL24" i="1"/>
  <c r="AN24" i="1" s="1"/>
  <c r="AL25" i="1"/>
  <c r="AN25" i="1" s="1"/>
  <c r="AL26" i="1"/>
  <c r="AN26" i="1" s="1"/>
  <c r="AL27" i="1"/>
  <c r="AN27" i="1" s="1"/>
  <c r="AL28" i="1"/>
  <c r="AN28" i="1" s="1"/>
  <c r="AL29" i="1"/>
  <c r="AN29" i="1" s="1"/>
  <c r="AL30" i="1"/>
  <c r="AN30" i="1" s="1"/>
  <c r="AL31" i="1"/>
  <c r="AN31" i="1" s="1"/>
  <c r="AL32" i="1"/>
  <c r="AN32" i="1" s="1"/>
  <c r="AL33" i="1"/>
  <c r="AN33" i="1" s="1"/>
  <c r="AL34" i="1"/>
  <c r="AN34" i="1" s="1"/>
  <c r="AL35" i="1"/>
  <c r="AN35" i="1" s="1"/>
  <c r="AL37" i="1"/>
  <c r="AN37" i="1" s="1"/>
  <c r="AL38" i="1"/>
  <c r="AN38" i="1" s="1"/>
  <c r="AL39" i="1"/>
  <c r="AN39" i="1" s="1"/>
  <c r="AL40" i="1"/>
  <c r="AN40" i="1" s="1"/>
  <c r="AL41" i="1"/>
  <c r="AN41" i="1" s="1"/>
  <c r="AL42" i="1"/>
  <c r="AN42" i="1" s="1"/>
  <c r="AL43" i="1"/>
  <c r="AN43" i="1" s="1"/>
  <c r="AL44" i="1"/>
  <c r="AN44" i="1" s="1"/>
  <c r="AL45" i="1"/>
  <c r="AN45" i="1" s="1"/>
  <c r="AL47" i="1"/>
  <c r="AN47" i="1" s="1"/>
  <c r="AL48" i="1"/>
  <c r="AN48" i="1" s="1"/>
  <c r="AL49" i="1"/>
  <c r="AN49" i="1" s="1"/>
  <c r="AL50" i="1"/>
  <c r="AN50" i="1" s="1"/>
  <c r="AL51" i="1"/>
  <c r="AN51" i="1" s="1"/>
  <c r="AL52" i="1"/>
  <c r="AN52" i="1" s="1"/>
  <c r="AL53" i="1"/>
  <c r="AN53" i="1" s="1"/>
  <c r="AL54" i="1"/>
  <c r="AN54" i="1" s="1"/>
  <c r="AL55" i="1"/>
  <c r="AN55" i="1" s="1"/>
  <c r="AL56" i="1"/>
  <c r="AN56" i="1" s="1"/>
  <c r="AL57" i="1"/>
  <c r="AN57" i="1" s="1"/>
  <c r="AL58" i="1"/>
  <c r="AN58" i="1" s="1"/>
  <c r="AL59" i="1"/>
  <c r="AN59" i="1" s="1"/>
  <c r="AL60" i="1"/>
  <c r="AN60" i="1" s="1"/>
  <c r="AL61" i="1"/>
  <c r="AN61" i="1" s="1"/>
  <c r="AL62" i="1"/>
  <c r="AN62" i="1" s="1"/>
  <c r="AL63" i="1"/>
  <c r="AN63" i="1" s="1"/>
  <c r="AL64" i="1"/>
  <c r="AN64" i="1" s="1"/>
  <c r="AL65" i="1"/>
  <c r="AN65" i="1" s="1"/>
  <c r="AL66" i="1"/>
  <c r="AN66" i="1" s="1"/>
  <c r="AL67" i="1"/>
  <c r="AN67" i="1" s="1"/>
  <c r="AK8" i="1"/>
  <c r="AM8" i="1" s="1"/>
  <c r="AK9" i="1"/>
  <c r="AM9" i="1" s="1"/>
  <c r="AK10" i="1"/>
  <c r="AM10" i="1" s="1"/>
  <c r="AK11" i="1"/>
  <c r="AM11" i="1" s="1"/>
  <c r="AK12" i="1"/>
  <c r="AM12" i="1" s="1"/>
  <c r="AK13" i="1"/>
  <c r="AM13" i="1" s="1"/>
  <c r="AK14" i="1"/>
  <c r="AM14" i="1" s="1"/>
  <c r="AK15" i="1"/>
  <c r="AM15" i="1" s="1"/>
  <c r="AK16" i="1"/>
  <c r="AM16" i="1" s="1"/>
  <c r="AK17" i="1"/>
  <c r="AM17" i="1" s="1"/>
  <c r="AK18" i="1"/>
  <c r="AM18" i="1" s="1"/>
  <c r="AK19" i="1"/>
  <c r="AM19" i="1" s="1"/>
  <c r="AK20" i="1"/>
  <c r="AM20" i="1" s="1"/>
  <c r="AK21" i="1"/>
  <c r="AM21" i="1" s="1"/>
  <c r="AK22" i="1"/>
  <c r="AM22" i="1" s="1"/>
  <c r="AK23" i="1"/>
  <c r="AM23" i="1" s="1"/>
  <c r="AK24" i="1"/>
  <c r="AM24" i="1" s="1"/>
  <c r="AK25" i="1"/>
  <c r="AM25" i="1" s="1"/>
  <c r="AK26" i="1"/>
  <c r="AM26" i="1" s="1"/>
  <c r="AK27" i="1"/>
  <c r="AM27" i="1" s="1"/>
  <c r="AK28" i="1"/>
  <c r="AM28" i="1" s="1"/>
  <c r="AK29" i="1"/>
  <c r="AM29" i="1" s="1"/>
  <c r="AK30" i="1"/>
  <c r="AM30" i="1" s="1"/>
  <c r="AK31" i="1"/>
  <c r="AM31" i="1" s="1"/>
  <c r="AK32" i="1"/>
  <c r="AM32" i="1" s="1"/>
  <c r="AK33" i="1"/>
  <c r="AM33" i="1" s="1"/>
  <c r="AK34" i="1"/>
  <c r="AM34" i="1" s="1"/>
  <c r="AK35" i="1"/>
  <c r="AM35" i="1" s="1"/>
  <c r="AK37" i="1"/>
  <c r="AM37" i="1" s="1"/>
  <c r="AK38" i="1"/>
  <c r="AM38" i="1" s="1"/>
  <c r="AK39" i="1"/>
  <c r="AM39" i="1" s="1"/>
  <c r="AK40" i="1"/>
  <c r="AM40" i="1" s="1"/>
  <c r="AK41" i="1"/>
  <c r="AM41" i="1" s="1"/>
  <c r="AK42" i="1"/>
  <c r="AM42" i="1" s="1"/>
  <c r="AK43" i="1"/>
  <c r="AM43" i="1" s="1"/>
  <c r="AK44" i="1"/>
  <c r="AM44" i="1" s="1"/>
  <c r="AK45" i="1"/>
  <c r="AM45" i="1" s="1"/>
  <c r="AK47" i="1"/>
  <c r="AM47" i="1" s="1"/>
  <c r="AK48" i="1"/>
  <c r="AM48" i="1" s="1"/>
  <c r="AK49" i="1"/>
  <c r="AM49" i="1" s="1"/>
  <c r="AK50" i="1"/>
  <c r="AM50" i="1" s="1"/>
  <c r="AK51" i="1"/>
  <c r="AM51" i="1" s="1"/>
  <c r="AK52" i="1"/>
  <c r="AM52" i="1" s="1"/>
  <c r="AK53" i="1"/>
  <c r="AM53" i="1" s="1"/>
  <c r="AK54" i="1"/>
  <c r="AM54" i="1" s="1"/>
  <c r="AK55" i="1"/>
  <c r="AM55" i="1" s="1"/>
  <c r="AK56" i="1"/>
  <c r="AM56" i="1" s="1"/>
  <c r="AK57" i="1"/>
  <c r="AM57" i="1" s="1"/>
  <c r="AK58" i="1"/>
  <c r="AM58" i="1" s="1"/>
  <c r="AK59" i="1"/>
  <c r="AM59" i="1" s="1"/>
  <c r="AK60" i="1"/>
  <c r="AM60" i="1" s="1"/>
  <c r="AK61" i="1"/>
  <c r="AM61" i="1" s="1"/>
  <c r="AK62" i="1"/>
  <c r="AM62" i="1" s="1"/>
  <c r="AK63" i="1"/>
  <c r="AM63" i="1" s="1"/>
  <c r="AK64" i="1"/>
  <c r="AM64" i="1" s="1"/>
  <c r="AK65" i="1"/>
  <c r="AM65" i="1" s="1"/>
  <c r="AK66" i="1"/>
  <c r="AM66" i="1" s="1"/>
  <c r="AK67" i="1"/>
  <c r="AM67" i="1" s="1"/>
  <c r="AL7" i="1"/>
  <c r="AN7" i="1" s="1"/>
  <c r="AK7" i="1"/>
  <c r="AM7" i="1" s="1"/>
  <c r="B49" i="17" l="1"/>
  <c r="D46" i="17"/>
  <c r="C46" i="17"/>
  <c r="B47" i="17"/>
  <c r="D47" i="17" s="1"/>
  <c r="E19" i="17"/>
  <c r="D19" i="17"/>
  <c r="AN70" i="1"/>
  <c r="AK71" i="1"/>
  <c r="AJ68" i="1"/>
  <c r="AI68" i="1"/>
  <c r="E46" i="17" l="1"/>
  <c r="C49" i="17"/>
  <c r="AM71" i="1"/>
  <c r="D5" i="10" s="1"/>
  <c r="M5" i="14" l="1"/>
  <c r="M4" i="14"/>
  <c r="M10" i="14" l="1"/>
  <c r="O4" i="14"/>
  <c r="N4" i="14"/>
  <c r="N5" i="14"/>
  <c r="O5" i="14"/>
  <c r="O7" i="14"/>
  <c r="N7" i="14"/>
  <c r="N6" i="14"/>
  <c r="O6" i="14"/>
  <c r="I15" i="14"/>
  <c r="J15" i="14" s="1"/>
  <c r="I14" i="14"/>
  <c r="F15" i="14"/>
  <c r="F14" i="14"/>
  <c r="I23" i="14"/>
  <c r="J23" i="14" s="1"/>
  <c r="I24" i="14"/>
  <c r="J24" i="14" s="1"/>
  <c r="I25" i="14"/>
  <c r="J25" i="14" s="1"/>
  <c r="I26" i="14"/>
  <c r="J26" i="14" s="1"/>
  <c r="I22" i="14"/>
  <c r="F22" i="14"/>
  <c r="I5" i="14"/>
  <c r="I4" i="14"/>
  <c r="I10" i="14" l="1"/>
  <c r="J14" i="14"/>
  <c r="J17" i="14" s="1"/>
  <c r="D35" i="14" s="1"/>
  <c r="E35" i="14" s="1"/>
  <c r="F35" i="14" s="1"/>
  <c r="G35" i="14" s="1"/>
  <c r="H35" i="14" s="1"/>
  <c r="I17" i="14"/>
  <c r="I28" i="14"/>
  <c r="N10" i="14"/>
  <c r="D37" i="14" s="1"/>
  <c r="O10" i="14"/>
  <c r="J7" i="14"/>
  <c r="K7" i="14"/>
  <c r="J6" i="14"/>
  <c r="K6" i="14"/>
  <c r="J5" i="14"/>
  <c r="K5" i="14"/>
  <c r="J4" i="14"/>
  <c r="K4" i="14"/>
  <c r="J22" i="14"/>
  <c r="F5" i="14"/>
  <c r="F6" i="14"/>
  <c r="F7" i="14"/>
  <c r="F4" i="14"/>
  <c r="E49" i="11"/>
  <c r="J28" i="14" l="1"/>
  <c r="D36" i="14" s="1"/>
  <c r="K10" i="14"/>
  <c r="J10" i="14"/>
  <c r="D34" i="14" s="1"/>
  <c r="E34" i="14" s="1"/>
  <c r="F34" i="14" s="1"/>
  <c r="G34" i="14" s="1"/>
  <c r="H34" i="14" s="1"/>
  <c r="E37" i="14"/>
  <c r="F37" i="14" s="1"/>
  <c r="G37" i="14" s="1"/>
  <c r="H37" i="14" s="1"/>
  <c r="I35" i="14"/>
  <c r="E36" i="14" l="1"/>
  <c r="F36" i="14" s="1"/>
  <c r="G36" i="14" s="1"/>
  <c r="H36" i="14" s="1"/>
  <c r="I34" i="14"/>
  <c r="I37" i="14"/>
  <c r="I36" i="14" l="1"/>
  <c r="U71" i="1"/>
  <c r="V71" i="1"/>
  <c r="W71" i="1"/>
  <c r="X71" i="1"/>
  <c r="Y71" i="1"/>
  <c r="Z71" i="1"/>
  <c r="AA71" i="1"/>
  <c r="AB71" i="1"/>
  <c r="AC71" i="1"/>
  <c r="AD71" i="1"/>
  <c r="AE71" i="1"/>
  <c r="AF71" i="1"/>
  <c r="AG71" i="1"/>
  <c r="AH71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K5" i="11" l="1"/>
  <c r="K50" i="11" s="1"/>
  <c r="E5" i="11"/>
  <c r="E6" i="11"/>
  <c r="E48" i="11"/>
  <c r="E47" i="11"/>
  <c r="E46" i="11"/>
  <c r="E45" i="11"/>
  <c r="E44" i="11"/>
  <c r="E43" i="11"/>
  <c r="E42" i="11"/>
  <c r="E41" i="11"/>
  <c r="E40" i="11"/>
  <c r="E39" i="11"/>
  <c r="E38" i="11"/>
  <c r="E37" i="11"/>
  <c r="E36" i="11"/>
  <c r="E35" i="11"/>
  <c r="E34" i="11"/>
  <c r="E33" i="11"/>
  <c r="E32" i="1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7" i="11"/>
  <c r="E9" i="11"/>
  <c r="E8" i="11"/>
  <c r="E51" i="11" l="1"/>
  <c r="B10" i="6"/>
  <c r="H36" i="1" l="1"/>
  <c r="G36" i="1"/>
  <c r="J36" i="1"/>
  <c r="I36" i="1"/>
  <c r="L36" i="1"/>
  <c r="K36" i="1"/>
  <c r="N36" i="1"/>
  <c r="M36" i="1"/>
  <c r="T46" i="1"/>
  <c r="T68" i="1" s="1"/>
  <c r="S46" i="1"/>
  <c r="S68" i="1" s="1"/>
  <c r="R46" i="1"/>
  <c r="R68" i="1" s="1"/>
  <c r="Q46" i="1"/>
  <c r="Q68" i="1" s="1"/>
  <c r="P46" i="1"/>
  <c r="O46" i="1"/>
  <c r="N46" i="1"/>
  <c r="M46" i="1"/>
  <c r="L46" i="1"/>
  <c r="K46" i="1"/>
  <c r="J46" i="1"/>
  <c r="I46" i="1"/>
  <c r="H46" i="1"/>
  <c r="G46" i="1"/>
  <c r="P36" i="1"/>
  <c r="O36" i="1"/>
  <c r="O68" i="1" l="1"/>
  <c r="P68" i="1"/>
  <c r="AO46" i="1"/>
  <c r="AQ46" i="1"/>
  <c r="AO36" i="1"/>
  <c r="AQ36" i="1"/>
  <c r="AP46" i="1"/>
  <c r="AR46" i="1"/>
  <c r="AP36" i="1"/>
  <c r="AR36" i="1"/>
  <c r="AK36" i="1"/>
  <c r="AK46" i="1"/>
  <c r="AM46" i="1" s="1"/>
  <c r="AL46" i="1"/>
  <c r="AN46" i="1" s="1"/>
  <c r="AL36" i="1"/>
  <c r="K68" i="1"/>
  <c r="L68" i="1"/>
  <c r="M68" i="1"/>
  <c r="I68" i="1"/>
  <c r="G68" i="1"/>
  <c r="H68" i="1"/>
  <c r="N68" i="1"/>
  <c r="J68" i="1"/>
  <c r="AP68" i="1" l="1"/>
  <c r="AR68" i="1"/>
  <c r="AQ68" i="1"/>
  <c r="AO68" i="1"/>
  <c r="AN36" i="1"/>
  <c r="AL68" i="1"/>
  <c r="AM36" i="1"/>
  <c r="AK68" i="1"/>
  <c r="AN68" i="1" l="1"/>
  <c r="D4" i="10" s="1"/>
  <c r="AM68" i="1"/>
  <c r="D3" i="10" s="1"/>
  <c r="P71" i="1"/>
  <c r="Q71" i="1"/>
  <c r="R71" i="1"/>
  <c r="S71" i="1"/>
  <c r="T71" i="1"/>
  <c r="H71" i="1"/>
  <c r="I71" i="1"/>
  <c r="J71" i="1"/>
  <c r="K71" i="1"/>
  <c r="L71" i="1"/>
  <c r="M71" i="1"/>
  <c r="N71" i="1"/>
  <c r="O71" i="1"/>
  <c r="G71" i="1"/>
  <c r="F3" i="10" l="1"/>
  <c r="E3" i="10"/>
  <c r="F4" i="10"/>
  <c r="E4" i="10"/>
  <c r="AO71" i="1"/>
  <c r="AQ71" i="1"/>
  <c r="AR71" i="1"/>
  <c r="AP71" i="1"/>
</calcChain>
</file>

<file path=xl/connections.xml><?xml version="1.0" encoding="utf-8"?>
<connections xmlns="http://schemas.openxmlformats.org/spreadsheetml/2006/main">
  <connection id="1" odcFile="C:\Users\carlosc\Documents\Minhas fontes de dados\simpbrspbd01 DataFit_BITonner BI de Tonner.odc" keepAlive="1" name="Cubo - Produção1" type="5" refreshedVersion="8" background="1" saveData="1">
    <dbPr connection="Provider=MSOLAP.8;Integrated Security=SSPI;Persist Security Info=True;User ID=&quot;&quot;;Initial Catalog=DataFit_BITonner;Data Source=cubodedados.simpress.com.br;Location=cubodedados.simpress.com.br;MDX Compatibility=1;Safety Options=2;MDX Missing Member Mode=Error;Update Isolation Level=2" command="BI de Tonner" commandType="1"/>
    <olapPr sendLocale="1" rowDrillCount="1000"/>
  </connection>
</connections>
</file>

<file path=xl/sharedStrings.xml><?xml version="1.0" encoding="utf-8"?>
<sst xmlns="http://schemas.openxmlformats.org/spreadsheetml/2006/main" count="777" uniqueCount="393">
  <si>
    <t>Numero de Série</t>
  </si>
  <si>
    <t>07NXBJKK400001</t>
  </si>
  <si>
    <t>088WB07K713AZB</t>
  </si>
  <si>
    <t>088WB07K713AZD</t>
  </si>
  <si>
    <t>088WB07K713CMP</t>
  </si>
  <si>
    <t>088WB07K713CNQ</t>
  </si>
  <si>
    <t>088WB07K713CNX</t>
  </si>
  <si>
    <t>088WB07K713CP2</t>
  </si>
  <si>
    <t>088WB07K713CP4</t>
  </si>
  <si>
    <t>088WB07K713CP6</t>
  </si>
  <si>
    <t>088WB07K713CP7</t>
  </si>
  <si>
    <t>088WB07K753909</t>
  </si>
  <si>
    <t>088WB07K753916</t>
  </si>
  <si>
    <t>088WB07K7539PR</t>
  </si>
  <si>
    <t>088WB07K7539Q9</t>
  </si>
  <si>
    <t>088WB07K7539QQ</t>
  </si>
  <si>
    <t>088WB07K7539R5</t>
  </si>
  <si>
    <t>088WB07K7539S7</t>
  </si>
  <si>
    <t>088WB07K7539SD</t>
  </si>
  <si>
    <t>088WB07K813P5S</t>
  </si>
  <si>
    <t>088WB07K813P5Y</t>
  </si>
  <si>
    <t>088WB07K913Z36</t>
  </si>
  <si>
    <t>088WB07K913Z3X</t>
  </si>
  <si>
    <t>088WB07K913Z44</t>
  </si>
  <si>
    <t>088WB07K9142B2</t>
  </si>
  <si>
    <t>088WB07K9142DY</t>
  </si>
  <si>
    <t>088WB07K9142ED</t>
  </si>
  <si>
    <t>088WB07K9142FA</t>
  </si>
  <si>
    <t>0CAHBJEK800001</t>
  </si>
  <si>
    <t>0CAHBJEK800002</t>
  </si>
  <si>
    <t>0CAHBJEK800003</t>
  </si>
  <si>
    <t>0CAHBJEK800004</t>
  </si>
  <si>
    <t>0CAHBJEK800005</t>
  </si>
  <si>
    <t>0CAHBJEK80000V</t>
  </si>
  <si>
    <t>0CAHBJEK800012</t>
  </si>
  <si>
    <t>0CAHBJEK80001F</t>
  </si>
  <si>
    <t>0CAHBJEK80001L</t>
  </si>
  <si>
    <t>0CAHBJEK800022</t>
  </si>
  <si>
    <t>0CAHBJEK80002H</t>
  </si>
  <si>
    <t>0CAHBJEK80003A</t>
  </si>
  <si>
    <t>0CAHBJEK800047</t>
  </si>
  <si>
    <t>0CAHBJEK80004H</t>
  </si>
  <si>
    <t>0CAHBJEK90000Q</t>
  </si>
  <si>
    <t>0CAHBJEK90001Z</t>
  </si>
  <si>
    <t>0CAHBJEK900025</t>
  </si>
  <si>
    <t>0CAHBJEK90002G</t>
  </si>
  <si>
    <t>0CAHBJEK90002K</t>
  </si>
  <si>
    <t>0CAHBJEK90002M</t>
  </si>
  <si>
    <t>0CAHBJEK90002W</t>
  </si>
  <si>
    <t>0CAHBJEK900030</t>
  </si>
  <si>
    <t>0CAHBJEK900032</t>
  </si>
  <si>
    <t>0CAHBJEK90003F</t>
  </si>
  <si>
    <t>0CAHBJEK90003M</t>
  </si>
  <si>
    <t>0CAHBJEK900040</t>
  </si>
  <si>
    <t>BRBSQBK0PK</t>
  </si>
  <si>
    <t>Jan/2023</t>
  </si>
  <si>
    <t>Fev/2023</t>
  </si>
  <si>
    <t>Mar/2023</t>
  </si>
  <si>
    <t>Abr/2023</t>
  </si>
  <si>
    <t>Mai/2023</t>
  </si>
  <si>
    <t>Jun/2023</t>
  </si>
  <si>
    <t>Jul/2023</t>
  </si>
  <si>
    <t>PB</t>
  </si>
  <si>
    <t>Color</t>
  </si>
  <si>
    <t>SPOA</t>
  </si>
  <si>
    <t>Preto/Branco</t>
  </si>
  <si>
    <t>Sala 835</t>
  </si>
  <si>
    <t>GM</t>
  </si>
  <si>
    <t>Serviço Médico</t>
  </si>
  <si>
    <t>Sala 850</t>
  </si>
  <si>
    <t>Sala 935E</t>
  </si>
  <si>
    <t>CONJUR</t>
  </si>
  <si>
    <t>Mezanino</t>
  </si>
  <si>
    <t>Sala 509</t>
  </si>
  <si>
    <t>Sala 752</t>
  </si>
  <si>
    <t>Sala 705</t>
  </si>
  <si>
    <t>Sala 952a</t>
  </si>
  <si>
    <t>Sala 412</t>
  </si>
  <si>
    <t>CGRH</t>
  </si>
  <si>
    <t>Sala 552</t>
  </si>
  <si>
    <t>Sala 922</t>
  </si>
  <si>
    <t>Sala 935</t>
  </si>
  <si>
    <t>Sala 842</t>
  </si>
  <si>
    <t>Sala 816</t>
  </si>
  <si>
    <t>Sala 855</t>
  </si>
  <si>
    <t>ASPAR</t>
  </si>
  <si>
    <t>Sala 740</t>
  </si>
  <si>
    <t>ASSINT</t>
  </si>
  <si>
    <t>Sala 600</t>
  </si>
  <si>
    <t>Plenária</t>
  </si>
  <si>
    <t>Sala 704</t>
  </si>
  <si>
    <t>Sala 807</t>
  </si>
  <si>
    <t>Sala 822</t>
  </si>
  <si>
    <t>Sala 952</t>
  </si>
  <si>
    <t>Sala 808</t>
  </si>
  <si>
    <t>Sala 818</t>
  </si>
  <si>
    <t>Sala 405</t>
  </si>
  <si>
    <t>Sala 450</t>
  </si>
  <si>
    <t>Localidade</t>
  </si>
  <si>
    <t>Tipo</t>
  </si>
  <si>
    <t>Area</t>
  </si>
  <si>
    <t>LOCALIZAÇÃO DO EQUIPAMENTO</t>
  </si>
  <si>
    <t>PRODUÇÃO MENSAL POR EQUIPAMENTO NO CONTRATO N° 29/2018 - MME</t>
  </si>
  <si>
    <t>Contrato MME n° 29/2018</t>
  </si>
  <si>
    <t>Sala 407A</t>
  </si>
  <si>
    <t>Sala 509A</t>
  </si>
  <si>
    <t>Sala 810</t>
  </si>
  <si>
    <t>SNTEP</t>
  </si>
  <si>
    <t>SNGM</t>
  </si>
  <si>
    <t>SE</t>
  </si>
  <si>
    <t>SNEE</t>
  </si>
  <si>
    <t>SNPGB</t>
  </si>
  <si>
    <t>STI</t>
  </si>
  <si>
    <t>Setor</t>
  </si>
  <si>
    <t>Andar</t>
  </si>
  <si>
    <t>Térreo</t>
  </si>
  <si>
    <t>4º</t>
  </si>
  <si>
    <t>5º</t>
  </si>
  <si>
    <t>8º</t>
  </si>
  <si>
    <t>1º</t>
  </si>
  <si>
    <t>7º</t>
  </si>
  <si>
    <t>9º</t>
  </si>
  <si>
    <t>6º</t>
  </si>
  <si>
    <t>STI/SuporteTI</t>
  </si>
  <si>
    <t>CL</t>
  </si>
  <si>
    <t>PAPEL  A4</t>
  </si>
  <si>
    <t>PAPEL  A3</t>
  </si>
  <si>
    <t>1º SS</t>
  </si>
  <si>
    <t>CONTRATO</t>
  </si>
  <si>
    <t>Sala 609A</t>
  </si>
  <si>
    <t>SPOA (até Set/2022) *1</t>
  </si>
  <si>
    <t>GM (Fev/23 a mai/23) *1</t>
  </si>
  <si>
    <t>Sala 609</t>
  </si>
  <si>
    <t xml:space="preserve">Color/ A4 </t>
  </si>
  <si>
    <t xml:space="preserve">Color/ A3 </t>
  </si>
  <si>
    <t>EQUIPAMENTO</t>
  </si>
  <si>
    <t>TOTAL PRODUÇÃO</t>
  </si>
  <si>
    <t>PICO PRODUÇÃO</t>
  </si>
  <si>
    <t>MÉDIA MENSAL PRODUÇÃO</t>
  </si>
  <si>
    <t>DESVIO PADRÃO</t>
  </si>
  <si>
    <t>USO</t>
  </si>
  <si>
    <t>Quantidade de impressora Policromática</t>
  </si>
  <si>
    <t>Quantidade de impressora Monocromática</t>
  </si>
  <si>
    <t>Corredor 1ºSS norte</t>
  </si>
  <si>
    <t>Corredor 9º norte</t>
  </si>
  <si>
    <t>Corredor 1º sul</t>
  </si>
  <si>
    <t>Corredor 7º norte</t>
  </si>
  <si>
    <t>Corredor 6º norte</t>
  </si>
  <si>
    <t>Corredor 6º sul</t>
  </si>
  <si>
    <t>Corredor 5º sul</t>
  </si>
  <si>
    <t>Corredor 5º norte</t>
  </si>
  <si>
    <t>Corredor 4º sul</t>
  </si>
  <si>
    <t>Corredor 4º norte</t>
  </si>
  <si>
    <t>Protocolo Geral</t>
  </si>
  <si>
    <t>Corredor T norte</t>
  </si>
  <si>
    <t>Sala 752A</t>
  </si>
  <si>
    <t>Item</t>
  </si>
  <si>
    <t>Quantidade</t>
  </si>
  <si>
    <t>Servidores Com Conta no AD</t>
  </si>
  <si>
    <t>Servidores Sem Conta no AD</t>
  </si>
  <si>
    <t>Estagiários Com conta no AD</t>
  </si>
  <si>
    <t>Terceirizados Com Conta no AD</t>
  </si>
  <si>
    <t>Terceirizados Sem conta no AD</t>
  </si>
  <si>
    <t>Contas no AD sem Correlação</t>
  </si>
  <si>
    <t xml:space="preserve">Total Usuários Com conta no AD </t>
  </si>
  <si>
    <t>Total usuários Sem conta no AD</t>
  </si>
  <si>
    <t>Usuário Ativos no RH e CGRL</t>
  </si>
  <si>
    <t>Total Usuários passíveis de uso de impressão</t>
  </si>
  <si>
    <t>*Dados extraídos da relação repassada pelo RH, CGRL e comparados com contas AD ativas</t>
  </si>
  <si>
    <t>Contrato</t>
  </si>
  <si>
    <t>Cliente</t>
  </si>
  <si>
    <t>Número de Série</t>
  </si>
  <si>
    <t>Modelo</t>
  </si>
  <si>
    <t>Data do cadastro</t>
  </si>
  <si>
    <t>Mês de cadastro</t>
  </si>
  <si>
    <t>MINISTERIO DE MINAS E ENERGIA</t>
  </si>
  <si>
    <t>088WB07K9142EB</t>
  </si>
  <si>
    <t xml:space="preserve">SL-M4080FX     </t>
  </si>
  <si>
    <t xml:space="preserve">SS C4062FX     </t>
  </si>
  <si>
    <t>SS C4062FX</t>
  </si>
  <si>
    <t>088WB07K9142G5</t>
  </si>
  <si>
    <t>SL-M4080FX</t>
  </si>
  <si>
    <t>SAER</t>
  </si>
  <si>
    <t>ASSAD</t>
  </si>
  <si>
    <t>AECI</t>
  </si>
  <si>
    <t>AAM</t>
  </si>
  <si>
    <t>AESCOM</t>
  </si>
  <si>
    <t>A4 Monocromática</t>
  </si>
  <si>
    <t>A4 Policromática</t>
  </si>
  <si>
    <t>EQUIPAMENTOS CONTRATO ATUAL</t>
  </si>
  <si>
    <t>24*</t>
  </si>
  <si>
    <t>Geral</t>
  </si>
  <si>
    <t>Gabinete</t>
  </si>
  <si>
    <t>Gabinete Secretário (até Jan/22) *1</t>
  </si>
  <si>
    <t>DPME</t>
  </si>
  <si>
    <t>Apoio Vinculadas</t>
  </si>
  <si>
    <t>Corregedoria</t>
  </si>
  <si>
    <t>Gabinete do Ministro</t>
  </si>
  <si>
    <t>Gabinete do Chefe de Gab.</t>
  </si>
  <si>
    <t>Total por tipo</t>
  </si>
  <si>
    <t>Total de equipamentos ativos</t>
  </si>
  <si>
    <t>Suporte-Geral</t>
  </si>
  <si>
    <t>DGPM</t>
  </si>
  <si>
    <t>DPOG</t>
  </si>
  <si>
    <t>Sala 07</t>
  </si>
  <si>
    <t>Gabinete Adjunto</t>
  </si>
  <si>
    <t>Térreo, 1º SS</t>
  </si>
  <si>
    <t>Térreo, 1º, 4º, 1ºSS, Mez.</t>
  </si>
  <si>
    <t>UNIDADE ORGANIZACIONAL</t>
  </si>
  <si>
    <t>AAM-Cerimonial</t>
  </si>
  <si>
    <t>8º, 9º</t>
  </si>
  <si>
    <t>TIPO DE IMPRESSÃO</t>
  </si>
  <si>
    <t>(FRANQUIA + EXCEDENTE)</t>
  </si>
  <si>
    <t>Impressões Monocromáticas A4</t>
  </si>
  <si>
    <t>Impressões Policromáticas A4</t>
  </si>
  <si>
    <t>Impressões Monocromáticas A3</t>
  </si>
  <si>
    <t>Impressões Policromáticas A3</t>
  </si>
  <si>
    <t>OBSERVAÇÃO</t>
  </si>
  <si>
    <t>Localização Atual dos equipamentos MME</t>
  </si>
  <si>
    <t>Proposta de nova distribuição dos equipamentos MME</t>
  </si>
  <si>
    <t>LOCALIZAÇÃO</t>
  </si>
  <si>
    <t>TOTAL</t>
  </si>
  <si>
    <t>Térreo - Corredor Térreo norte - STI/Geral</t>
  </si>
  <si>
    <t>Térreo - Protocolo Geral - SPOA/Protocolo Geral</t>
  </si>
  <si>
    <t>4º - Corredor 4º norte - SPOA/Geral</t>
  </si>
  <si>
    <t>4º - Sala 450 - SPOA/Gabinete</t>
  </si>
  <si>
    <t>4º - Corredor 4º sul - SNGM/Geral</t>
  </si>
  <si>
    <t>4º - Sala 405 - SNGM/Gabinete</t>
  </si>
  <si>
    <t>4º - Sala 407A - SNGM/Gabinete</t>
  </si>
  <si>
    <t>4º - Sala 412 - SNGM/DGPM</t>
  </si>
  <si>
    <t>5º - Corredor 5º norte - SNTEP/Geral</t>
  </si>
  <si>
    <t>5º - Corredor 5º sul - SNTEP/Geral</t>
  </si>
  <si>
    <t>5º - Sala 509 - SNTEP/Gabinete</t>
  </si>
  <si>
    <t>5º - Sala 552 - SNTEP/DPOG</t>
  </si>
  <si>
    <t>6º - Corredor 6º norte - SNEE/Geral</t>
  </si>
  <si>
    <t>6º - Corredor 6º sul - SNEE/Geral</t>
  </si>
  <si>
    <t>6º - Sala 600 - SNEE/Gabinete</t>
  </si>
  <si>
    <t>6º - Sala 609 - SNEE/DPME</t>
  </si>
  <si>
    <t>7º - Corredor 7º norte - SE/Geral</t>
  </si>
  <si>
    <t>7º - Sala 704 - SE/Gabinete Adjunto</t>
  </si>
  <si>
    <t>7º - Sala 705 - SE/Gabinete</t>
  </si>
  <si>
    <t>7º - Sala 740 - ASSINT</t>
  </si>
  <si>
    <t>8º - Sala 807 - GM/Gabinete do Ministro</t>
  </si>
  <si>
    <t>8º - Sala 810 - GM/Gabinete do Chefe de Gab.</t>
  </si>
  <si>
    <t>8º - Sala 835 - GM/ ASSAD</t>
  </si>
  <si>
    <t>9º - Corredor 9º norte - SNPGB/Geral</t>
  </si>
  <si>
    <t>9º - Sala 952 - SNPGB/Gabinete</t>
  </si>
  <si>
    <t>9º - Plenária - GM</t>
  </si>
  <si>
    <t>9º - Sala 935E - CONJUR/Gabinete</t>
  </si>
  <si>
    <t>1º SS - Corredor 1ºSS norte - SPOA/Geral</t>
  </si>
  <si>
    <t>Mezanino - SPOA/CGRL/Geral</t>
  </si>
  <si>
    <t>Reserva Técnica*</t>
  </si>
  <si>
    <t>Total</t>
  </si>
  <si>
    <t>*Para atender a demanda futura</t>
  </si>
  <si>
    <t>CGGP</t>
  </si>
  <si>
    <t>CGGP-Geral</t>
  </si>
  <si>
    <t>1º - CGRH - SPOA/CGGP</t>
  </si>
  <si>
    <t>1º - Corredor 1º sul - SPOA/CGGP/Geral</t>
  </si>
  <si>
    <t>1º - Serviço Médico - SPOA/CGGP</t>
  </si>
  <si>
    <t>Ago/2023</t>
  </si>
  <si>
    <t>Set/2023</t>
  </si>
  <si>
    <t>Out/2023</t>
  </si>
  <si>
    <t>Nov/2023</t>
  </si>
  <si>
    <t>Dez/2023</t>
  </si>
  <si>
    <t>Jan/2024</t>
  </si>
  <si>
    <t>Fev/2024</t>
  </si>
  <si>
    <t xml:space="preserve">* Tem 1 equipamento Color alocado na sala T52 atende os formatos A3 </t>
  </si>
  <si>
    <t>QUANTIDADE MENSAL PREVISTA NO CONTRATO ATUAL</t>
  </si>
  <si>
    <t>9º - Sala sem nº - CONJUR</t>
  </si>
  <si>
    <t xml:space="preserve">Total </t>
  </si>
  <si>
    <t xml:space="preserve">A3 - Impressoes policromática A3/A4 </t>
  </si>
  <si>
    <t>CL - Impressora policromática A4</t>
  </si>
  <si>
    <t>PB - Impressora monocromática A4</t>
  </si>
  <si>
    <t>CL A3/A4</t>
  </si>
  <si>
    <t>ITEM</t>
  </si>
  <si>
    <t>DESCRIÇÃO</t>
  </si>
  <si>
    <t>CÓDIGO CATSER</t>
  </si>
  <si>
    <t>UNIDADE DE MEDIDA</t>
  </si>
  <si>
    <t>1 </t>
  </si>
  <si>
    <t>Outsourcing de impressão - Páginas A4 - monocromático - dentro da franquia sem papel</t>
  </si>
  <si>
    <t>26573 </t>
  </si>
  <si>
    <t>Página/mês </t>
  </si>
  <si>
    <t>2 </t>
  </si>
  <si>
    <t>Outsourcing de impressão - Páginas A4 - monocromático - excedente a franquia sem papel </t>
  </si>
  <si>
    <t>26654 </t>
  </si>
  <si>
    <t>Página</t>
  </si>
  <si>
    <t>3 </t>
  </si>
  <si>
    <t>Outsourcing de impressão -  Páginas A4 - policromático - dentro da franquia sem papel </t>
  </si>
  <si>
    <t>26611 </t>
  </si>
  <si>
    <t>4 </t>
  </si>
  <si>
    <t>Outsourcing de impressão - Páginas A4 - policromático - excedente a franquia - sem papel</t>
  </si>
  <si>
    <t>26697 </t>
  </si>
  <si>
    <t xml:space="preserve">QUANTIDADE MENSAL </t>
  </si>
  <si>
    <t>QUANTIDADE 
12 MESES</t>
  </si>
  <si>
    <t xml:space="preserve">Valor Total Estimado MME </t>
  </si>
  <si>
    <t>Valor Unitário Pesquisa Preços MME</t>
  </si>
  <si>
    <t>Outsourcing de impressão - Equipamentos + páginas</t>
  </si>
  <si>
    <t>Unidade</t>
  </si>
  <si>
    <t>Valor Total Estimado MME MENSAL</t>
  </si>
  <si>
    <t>Outsourcing de Impressão - Franquia + Excedente</t>
  </si>
  <si>
    <t>Outsourcing de impressão - Sem Franquia</t>
  </si>
  <si>
    <t>Outsourcing de Impressão - Locação de Equipamento - Monocromático A4 até 30 PPM</t>
  </si>
  <si>
    <t>Outsourcing de Impressão - Locação de Equipamento - Policromático A4 Até 25 PPM</t>
  </si>
  <si>
    <t>Outsourcing de Impressão - Locação De Equipamento - Policromático A3</t>
  </si>
  <si>
    <t>Outsourcing de Impressão - Locação Páginas Impressas A4 SemPapel</t>
  </si>
  <si>
    <t>Outsourcing de Impressão - Locação Páginas Impressas A4 Policromática sem Papel</t>
  </si>
  <si>
    <t>Outsourcing De Impressão - Sem Franquia - Páginas Impressas Click A4 Monocromática Sem Papel</t>
  </si>
  <si>
    <t xml:space="preserve">Outsourcing De Impressão - Sem Franquia - Páginas Impressas Click A4 Policromática sem Papel </t>
  </si>
  <si>
    <t>Valor Total Mensal Estimado MME baseado Unidade MGI</t>
  </si>
  <si>
    <t>Valor Unitário MGI 
(60 meses | equip. novos)</t>
  </si>
  <si>
    <t>COGER</t>
  </si>
  <si>
    <t>A3</t>
  </si>
  <si>
    <t>Monocromática</t>
  </si>
  <si>
    <t>Policromática</t>
  </si>
  <si>
    <t>Meses/Ano</t>
  </si>
  <si>
    <t>Mar/2024</t>
  </si>
  <si>
    <t>088WB07K713CNZ</t>
  </si>
  <si>
    <t>088WB07K9142CS</t>
  </si>
  <si>
    <t>088WB07K9142DB</t>
  </si>
  <si>
    <t>088WB07K9142DG</t>
  </si>
  <si>
    <t>088WB07K9142GD</t>
  </si>
  <si>
    <t>Total Período (15 meses)</t>
  </si>
  <si>
    <t>Produção (consumo) no Período de Janeiro/2023 a Março/2024</t>
  </si>
  <si>
    <t>PERÍODO (15 MESES - JANEIRO/2023 A MARÇO/2024)</t>
  </si>
  <si>
    <t>*- Equipamento atualmente em depósito (backup/reserva/recolhido)</t>
  </si>
  <si>
    <t>Média Mensal (15 meses)</t>
  </si>
  <si>
    <t>Franquia Policromática</t>
  </si>
  <si>
    <t>Franquia Monocromática</t>
  </si>
  <si>
    <t>Média Monocromática</t>
  </si>
  <si>
    <t>Média Policromática</t>
  </si>
  <si>
    <t>A3 Policromática</t>
  </si>
  <si>
    <t xml:space="preserve">A4 </t>
  </si>
  <si>
    <t>Franquia Mono/ Poli</t>
  </si>
  <si>
    <t>Maior consumo</t>
  </si>
  <si>
    <t>7º - Sala 752A - SE/Apoio Vinculadas</t>
  </si>
  <si>
    <t>7º - Sala 752 - COGER/Corregedoria</t>
  </si>
  <si>
    <t>8º - Sala 808 - GM/Gabinete do Ministro</t>
  </si>
  <si>
    <t>8º - Sala 816 - AAM/AAM-Cerimonial</t>
  </si>
  <si>
    <t>8º - Sala 818 - AAM/AAM</t>
  </si>
  <si>
    <t>8º - Sala 822 - AESCOM/AESCOM</t>
  </si>
  <si>
    <t>8º - Sala 842 - AECI/AECI</t>
  </si>
  <si>
    <t>8º - Sala 850 - SAER/SAER</t>
  </si>
  <si>
    <t>8º - Sala 855 - GM/ASPAR</t>
  </si>
  <si>
    <t>9º - Sala 922 - CONJUR/Geral</t>
  </si>
  <si>
    <t>1º SS - Sala 07 - STI/Suporte/Geral - A4 e A3</t>
  </si>
  <si>
    <t>9º - Sala 935 - CONJUR</t>
  </si>
  <si>
    <t>PROPOSTA DE NOVA DISTRIBUIÇÃO DAS IMPRESSORAS MULTIFUNCIONAIS NOS SETORES MME</t>
  </si>
  <si>
    <t>Qtde de impressoras estimada</t>
  </si>
  <si>
    <t>CONSUMO MENSAL MÉDIO  APURADO EM 15 MESES</t>
  </si>
  <si>
    <t>variação percentual para menos de 61%. </t>
  </si>
  <si>
    <t>variação percentual para menos de 18%. </t>
  </si>
  <si>
    <t>variação percentual para mais em 26%. </t>
  </si>
  <si>
    <t>variação percentual para mais em 63%. </t>
  </si>
  <si>
    <t>*Não há franquia de A3 no contrato atual</t>
  </si>
  <si>
    <t>FRANQUIA</t>
  </si>
  <si>
    <t>VARIAÇÃO PERCENTUAL RELATIVO AO TOTAL PREVISTO NO CONTRATO</t>
  </si>
  <si>
    <t>VARIAÇÃO PERCENTUAL RELATIVO A FRANQUIA PREVISTA NO CONTRATO</t>
  </si>
  <si>
    <t>Valor Total Estimado MME ANUAL</t>
  </si>
  <si>
    <r>
      <t>(R$)</t>
    </r>
    <r>
      <rPr>
        <sz val="11"/>
        <color theme="1"/>
        <rFont val="Calibri"/>
        <family val="2"/>
        <scheme val="minor"/>
      </rPr>
      <t>​​​​​​​</t>
    </r>
  </si>
  <si>
    <t>SOLUÇÃO / CENÁRIO</t>
  </si>
  <si>
    <t>ESTIMATIVA DE TCO AO LONGO DOS ANOS</t>
  </si>
  <si>
    <t>ANO 1</t>
  </si>
  <si>
    <t>(R$)</t>
  </si>
  <si>
    <t>ANO 2</t>
  </si>
  <si>
    <t>ANO 3</t>
  </si>
  <si>
    <t>ANO 4</t>
  </si>
  <si>
    <t>ANO 5</t>
  </si>
  <si>
    <t>III - Contratação de serviços de impressão corporativa (outsourcing de impressão) na modalidade cobrança por franquia de páginas mais excedente.</t>
  </si>
  <si>
    <t>IV - Contratação de serviços de impressão corporativa (outsourcing de impressão) na modalidade cobrança apenas por custo unitário de página (sem franquia).</t>
  </si>
  <si>
    <t>V - Contratação de serviços de impressão corporativa (outsourcing de impressão) na modalidade cobrança pelo fornecimento do equipamento mais custo unitário por página impressa (modalidade híbrida).</t>
  </si>
  <si>
    <t>Valor Total Estimado MME Contratação (60 meses)</t>
  </si>
  <si>
    <t>QUANTIDADE TOTAL CONTRATO
60 MESES</t>
  </si>
  <si>
    <t>Adesão a Ata de Registro de Preços vigente na qualidade de Órgão não participante</t>
  </si>
  <si>
    <t>Valor Total Estimado  CONTRATAÇÃO (60 MESES)</t>
  </si>
  <si>
    <t>Total Mensal estimado com crescida de 10% A4</t>
  </si>
  <si>
    <t>Total Mensal estimado com crescida de 10% A3</t>
  </si>
  <si>
    <t>Referência Tbla 2 Portaria MGI 370/2023</t>
  </si>
  <si>
    <t>*1 impressora color deve ser A3</t>
  </si>
  <si>
    <t>ANUAL</t>
  </si>
  <si>
    <t>MENSAL</t>
  </si>
  <si>
    <t>Total Mensal estimado com crescida de 20% A4</t>
  </si>
  <si>
    <t>Total Mensal estimado com crescida de 20% A3</t>
  </si>
  <si>
    <t>CONTRATO (60 meses)</t>
  </si>
  <si>
    <t>Outsourcing de impressão - Páginas A3 - policromático - excedente a franquia - sem papel</t>
  </si>
  <si>
    <t>Outsourcing de impressão - Páginas A3 - policromático - dentro da franquia sem papel </t>
  </si>
  <si>
    <t>Outsourcing de Impressão - Locação Páginas Impressas A3 Policromática sem Papel</t>
  </si>
  <si>
    <t xml:space="preserve">Outsourcing De Impressão - Sem Franquia - Páginas Impressas Click A3 Policromática sem Papel </t>
  </si>
  <si>
    <t>ATA MGI</t>
  </si>
  <si>
    <t>*Estimativa de ICTI de 1,71% a.a. (período de março/2023 a fevereiro/2024) aplicado aos anos 2 a 5.</t>
  </si>
  <si>
    <t>Acréscimo nas estimativas levantadas de, no mínimo, 10% (dez por cento) para corrigir eventuais distorções estimativas de modo a permitir que a demanda inicial de impressões contratadas possa comportar efetivamente a demanda do MME.</t>
  </si>
  <si>
    <t>Margem de Segurança para absorver demandas futuras (20%)</t>
  </si>
  <si>
    <t>Salas sem nº</t>
  </si>
  <si>
    <t>Valor Total Estimado MME 60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</si>
</sst>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* #,##0.0000_-;\-* #,##0.0000_-;_-* &quot;-&quot;??_-;_-@_-"/>
    <numFmt numFmtId="165" formatCode="_-&quot;R$&quot;* #,##0.0000_-;\-&quot;R$&quot;* #,##0.0000_-;_-&quot;R$&quot;* &quot;-&quot;??_-;_-@_-"/>
    <numFmt numFmtId="166" formatCode="_-* #,##0.0000_-;\-* #,##0.0000_-;_-* &quot;-&quot;????_-;_-@_-"/>
  </numFmts>
  <fonts count="3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B050"/>
      <name val="Calibri"/>
      <family val="2"/>
      <scheme val="minor"/>
    </font>
    <font>
      <sz val="10"/>
      <color rgb="FF000000"/>
      <name val="Arial"/>
      <family val="2"/>
    </font>
    <font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rgb="FF333333"/>
      <name val="Arial"/>
      <family val="2"/>
    </font>
    <font>
      <sz val="10"/>
      <color rgb="FF92D05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color rgb="FF000000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rgb="FF7030A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9" fontId="17" fillId="0" borderId="0" applyFont="0" applyFill="0" applyBorder="0" applyAlignment="0" applyProtection="0"/>
    <xf numFmtId="0" fontId="16" fillId="0" borderId="0" applyBorder="0"/>
    <xf numFmtId="44" fontId="17" fillId="0" borderId="0" applyFont="0" applyFill="0" applyBorder="0" applyAlignment="0" applyProtection="0"/>
  </cellStyleXfs>
  <cellXfs count="27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10" borderId="1" xfId="0" applyFont="1" applyFill="1" applyBorder="1" applyAlignment="1">
      <alignment vertical="center"/>
    </xf>
    <xf numFmtId="0" fontId="10" fillId="11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10" borderId="1" xfId="0" applyFont="1" applyFill="1" applyBorder="1" applyAlignment="1">
      <alignment horizontal="left" vertical="center"/>
    </xf>
    <xf numFmtId="0" fontId="10" fillId="11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1" fontId="1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3" fontId="13" fillId="4" borderId="1" xfId="0" applyNumberFormat="1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horizontal="center" vertical="center"/>
    </xf>
    <xf numFmtId="1" fontId="11" fillId="4" borderId="1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/>
    </xf>
    <xf numFmtId="0" fontId="11" fillId="3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1" fontId="6" fillId="4" borderId="1" xfId="0" applyNumberFormat="1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vertical="center"/>
    </xf>
    <xf numFmtId="0" fontId="18" fillId="11" borderId="1" xfId="0" applyFont="1" applyFill="1" applyBorder="1" applyAlignment="1">
      <alignment vertical="center"/>
    </xf>
    <xf numFmtId="0" fontId="4" fillId="10" borderId="1" xfId="0" applyFont="1" applyFill="1" applyBorder="1" applyAlignment="1">
      <alignment horizontal="center" vertical="center"/>
    </xf>
    <xf numFmtId="0" fontId="18" fillId="10" borderId="1" xfId="0" applyFont="1" applyFill="1" applyBorder="1" applyAlignment="1">
      <alignment horizontal="left" vertical="center"/>
    </xf>
    <xf numFmtId="3" fontId="3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19" fillId="1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0" fillId="0" borderId="0" xfId="0"/>
    <xf numFmtId="0" fontId="25" fillId="0" borderId="1" xfId="0" applyFont="1" applyBorder="1"/>
    <xf numFmtId="0" fontId="19" fillId="13" borderId="1" xfId="0" applyFont="1" applyFill="1" applyBorder="1" applyAlignment="1">
      <alignment horizontal="center" vertical="center" wrapText="1"/>
    </xf>
    <xf numFmtId="9" fontId="26" fillId="0" borderId="1" xfId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1" fontId="1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3" fontId="3" fillId="0" borderId="1" xfId="0" applyNumberFormat="1" applyFont="1" applyBorder="1"/>
    <xf numFmtId="3" fontId="11" fillId="0" borderId="0" xfId="0" applyNumberFormat="1" applyFont="1"/>
    <xf numFmtId="49" fontId="3" fillId="0" borderId="1" xfId="0" applyNumberFormat="1" applyFont="1" applyBorder="1"/>
    <xf numFmtId="0" fontId="1" fillId="0" borderId="0" xfId="0" applyFont="1"/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3" fontId="3" fillId="0" borderId="0" xfId="0" applyNumberFormat="1" applyFont="1" applyBorder="1"/>
    <xf numFmtId="0" fontId="3" fillId="0" borderId="0" xfId="0" applyFont="1"/>
    <xf numFmtId="0" fontId="0" fillId="0" borderId="0" xfId="0" applyFill="1" applyBorder="1"/>
    <xf numFmtId="9" fontId="5" fillId="0" borderId="0" xfId="1" applyFont="1" applyFill="1" applyBorder="1"/>
    <xf numFmtId="0" fontId="3" fillId="0" borderId="0" xfId="0" applyFont="1" applyFill="1" applyBorder="1"/>
    <xf numFmtId="9" fontId="9" fillId="0" borderId="0" xfId="1" applyNumberFormat="1" applyFont="1" applyFill="1" applyBorder="1" applyAlignment="1">
      <alignment horizontal="right" vertical="center"/>
    </xf>
    <xf numFmtId="0" fontId="5" fillId="20" borderId="1" xfId="0" applyFont="1" applyFill="1" applyBorder="1"/>
    <xf numFmtId="3" fontId="5" fillId="20" borderId="1" xfId="0" applyNumberFormat="1" applyFont="1" applyFill="1" applyBorder="1"/>
    <xf numFmtId="0" fontId="5" fillId="20" borderId="1" xfId="0" applyFont="1" applyFill="1" applyBorder="1" applyAlignment="1">
      <alignment wrapText="1"/>
    </xf>
    <xf numFmtId="0" fontId="9" fillId="20" borderId="1" xfId="0" applyFont="1" applyFill="1" applyBorder="1" applyAlignment="1">
      <alignment wrapText="1"/>
    </xf>
    <xf numFmtId="3" fontId="9" fillId="20" borderId="1" xfId="0" applyNumberFormat="1" applyFont="1" applyFill="1" applyBorder="1" applyAlignment="1">
      <alignment horizontal="right" vertical="center"/>
    </xf>
    <xf numFmtId="9" fontId="5" fillId="20" borderId="1" xfId="1" applyFont="1" applyFill="1" applyBorder="1"/>
    <xf numFmtId="9" fontId="9" fillId="20" borderId="1" xfId="1" applyFont="1" applyFill="1" applyBorder="1" applyAlignment="1">
      <alignment horizontal="right" vertical="center"/>
    </xf>
    <xf numFmtId="9" fontId="9" fillId="20" borderId="1" xfId="1" applyNumberFormat="1" applyFont="1" applyFill="1" applyBorder="1" applyAlignment="1">
      <alignment horizontal="right" vertical="center"/>
    </xf>
    <xf numFmtId="3" fontId="9" fillId="2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/>
    <xf numFmtId="0" fontId="5" fillId="16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3" fontId="3" fillId="0" borderId="1" xfId="0" applyNumberFormat="1" applyFont="1" applyBorder="1" applyAlignment="1">
      <alignment horizontal="center" vertical="center"/>
    </xf>
    <xf numFmtId="0" fontId="30" fillId="3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0" fontId="5" fillId="19" borderId="1" xfId="0" applyFont="1" applyFill="1" applyBorder="1" applyAlignment="1">
      <alignment horizontal="center"/>
    </xf>
    <xf numFmtId="0" fontId="3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3" fillId="17" borderId="1" xfId="0" applyFont="1" applyFill="1" applyBorder="1"/>
    <xf numFmtId="0" fontId="21" fillId="0" borderId="1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5" fillId="14" borderId="11" xfId="0" applyFont="1" applyFill="1" applyBorder="1" applyAlignment="1">
      <alignment horizontal="center" vertical="center"/>
    </xf>
    <xf numFmtId="0" fontId="13" fillId="3" borderId="11" xfId="0" applyFont="1" applyFill="1" applyBorder="1" applyAlignment="1">
      <alignment horizontal="center"/>
    </xf>
    <xf numFmtId="0" fontId="13" fillId="4" borderId="11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/>
    </xf>
    <xf numFmtId="0" fontId="11" fillId="10" borderId="10" xfId="0" applyFont="1" applyFill="1" applyBorder="1"/>
    <xf numFmtId="0" fontId="11" fillId="3" borderId="10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/>
    </xf>
    <xf numFmtId="0" fontId="11" fillId="9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10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1" fillId="9" borderId="1" xfId="0" applyFont="1" applyFill="1" applyBorder="1" applyAlignment="1">
      <alignment horizontal="center"/>
    </xf>
    <xf numFmtId="0" fontId="23" fillId="9" borderId="1" xfId="0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/>
    </xf>
    <xf numFmtId="0" fontId="23" fillId="4" borderId="1" xfId="0" applyFont="1" applyFill="1" applyBorder="1" applyAlignment="1">
      <alignment horizontal="center"/>
    </xf>
    <xf numFmtId="0" fontId="21" fillId="9" borderId="1" xfId="0" applyFont="1" applyFill="1" applyBorder="1" applyAlignment="1">
      <alignment horizontal="center"/>
    </xf>
    <xf numFmtId="0" fontId="11" fillId="0" borderId="10" xfId="0" applyFont="1" applyBorder="1" applyAlignment="1">
      <alignment horizontal="center" vertical="center"/>
    </xf>
    <xf numFmtId="0" fontId="5" fillId="14" borderId="1" xfId="0" applyFont="1" applyFill="1" applyBorder="1" applyAlignment="1">
      <alignment horizontal="left" vertical="center"/>
    </xf>
    <xf numFmtId="0" fontId="5" fillId="14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4" borderId="1" xfId="0" applyFont="1" applyFill="1" applyBorder="1"/>
    <xf numFmtId="0" fontId="3" fillId="9" borderId="1" xfId="0" applyFont="1" applyFill="1" applyBorder="1"/>
    <xf numFmtId="3" fontId="13" fillId="20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3" fillId="16" borderId="1" xfId="0" applyNumberFormat="1" applyFont="1" applyFill="1" applyBorder="1"/>
    <xf numFmtId="164" fontId="3" fillId="16" borderId="1" xfId="3" applyNumberFormat="1" applyFont="1" applyFill="1" applyBorder="1"/>
    <xf numFmtId="164" fontId="5" fillId="16" borderId="1" xfId="3" applyNumberFormat="1" applyFont="1" applyFill="1" applyBorder="1"/>
    <xf numFmtId="43" fontId="3" fillId="2" borderId="1" xfId="0" applyNumberFormat="1" applyFont="1" applyFill="1" applyBorder="1"/>
    <xf numFmtId="3" fontId="3" fillId="0" borderId="1" xfId="0" applyNumberFormat="1" applyFont="1" applyBorder="1" applyAlignment="1">
      <alignment horizontal="left" vertical="center" wrapText="1"/>
    </xf>
    <xf numFmtId="43" fontId="3" fillId="2" borderId="11" xfId="0" applyNumberFormat="1" applyFont="1" applyFill="1" applyBorder="1"/>
    <xf numFmtId="164" fontId="5" fillId="16" borderId="11" xfId="0" applyNumberFormat="1" applyFont="1" applyFill="1" applyBorder="1"/>
    <xf numFmtId="0" fontId="5" fillId="15" borderId="1" xfId="0" applyFont="1" applyFill="1" applyBorder="1" applyAlignment="1">
      <alignment horizontal="center" vertical="center" wrapText="1"/>
    </xf>
    <xf numFmtId="43" fontId="5" fillId="2" borderId="1" xfId="0" applyNumberFormat="1" applyFont="1" applyFill="1" applyBorder="1"/>
    <xf numFmtId="0" fontId="9" fillId="13" borderId="15" xfId="0" applyFont="1" applyFill="1" applyBorder="1" applyAlignment="1">
      <alignment horizontal="center" vertical="center" wrapText="1"/>
    </xf>
    <xf numFmtId="0" fontId="9" fillId="13" borderId="17" xfId="0" applyFont="1" applyFill="1" applyBorder="1" applyAlignment="1">
      <alignment horizontal="center" vertical="center" wrapText="1"/>
    </xf>
    <xf numFmtId="0" fontId="9" fillId="13" borderId="16" xfId="0" applyFont="1" applyFill="1" applyBorder="1" applyAlignment="1">
      <alignment horizontal="center" vertical="center" wrapText="1"/>
    </xf>
    <xf numFmtId="0" fontId="0" fillId="13" borderId="17" xfId="0" applyFill="1" applyBorder="1" applyAlignment="1">
      <alignment horizontal="center" vertical="center" wrapText="1"/>
    </xf>
    <xf numFmtId="0" fontId="0" fillId="0" borderId="14" xfId="0" applyBorder="1" applyAlignment="1">
      <alignment horizontal="justify" vertical="center" wrapText="1"/>
    </xf>
    <xf numFmtId="165" fontId="0" fillId="0" borderId="14" xfId="3" applyNumberFormat="1" applyFont="1" applyBorder="1" applyAlignment="1">
      <alignment vertical="center" wrapText="1"/>
    </xf>
    <xf numFmtId="165" fontId="0" fillId="0" borderId="14" xfId="0" applyNumberFormat="1" applyBorder="1" applyAlignment="1">
      <alignment horizontal="right" vertical="center" wrapText="1"/>
    </xf>
    <xf numFmtId="164" fontId="3" fillId="15" borderId="1" xfId="0" applyNumberFormat="1" applyFont="1" applyFill="1" applyBorder="1"/>
    <xf numFmtId="165" fontId="5" fillId="15" borderId="1" xfId="0" applyNumberFormat="1" applyFont="1" applyFill="1" applyBorder="1"/>
    <xf numFmtId="166" fontId="3" fillId="0" borderId="0" xfId="0" applyNumberFormat="1" applyFont="1"/>
    <xf numFmtId="164" fontId="3" fillId="0" borderId="0" xfId="0" applyNumberFormat="1" applyFont="1"/>
    <xf numFmtId="0" fontId="0" fillId="0" borderId="15" xfId="0" applyBorder="1" applyAlignment="1">
      <alignment horizontal="justify" vertical="center" wrapText="1"/>
    </xf>
    <xf numFmtId="165" fontId="0" fillId="0" borderId="15" xfId="3" applyNumberFormat="1" applyFont="1" applyBorder="1" applyAlignment="1">
      <alignment vertical="center" wrapText="1"/>
    </xf>
    <xf numFmtId="165" fontId="17" fillId="0" borderId="14" xfId="3" applyNumberFormat="1" applyFont="1" applyBorder="1" applyAlignment="1">
      <alignment horizontal="center" vertical="center" wrapText="1"/>
    </xf>
    <xf numFmtId="165" fontId="17" fillId="0" borderId="15" xfId="3" applyNumberFormat="1" applyFont="1" applyBorder="1" applyAlignment="1">
      <alignment horizontal="center" vertical="center" wrapText="1"/>
    </xf>
    <xf numFmtId="3" fontId="0" fillId="0" borderId="0" xfId="0" applyNumberFormat="1"/>
    <xf numFmtId="0" fontId="9" fillId="0" borderId="0" xfId="0" applyFont="1"/>
    <xf numFmtId="9" fontId="0" fillId="0" borderId="0" xfId="1" applyFont="1"/>
    <xf numFmtId="2" fontId="9" fillId="0" borderId="0" xfId="1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2" fillId="7" borderId="1" xfId="0" applyFont="1" applyFill="1" applyBorder="1"/>
    <xf numFmtId="0" fontId="2" fillId="7" borderId="1" xfId="0" applyFont="1" applyFill="1" applyBorder="1" applyAlignment="1">
      <alignment wrapText="1"/>
    </xf>
    <xf numFmtId="3" fontId="2" fillId="19" borderId="1" xfId="0" applyNumberFormat="1" applyFont="1" applyFill="1" applyBorder="1" applyAlignment="1">
      <alignment horizontal="right" vertical="center"/>
    </xf>
    <xf numFmtId="3" fontId="2" fillId="18" borderId="1" xfId="0" applyNumberFormat="1" applyFont="1" applyFill="1" applyBorder="1" applyAlignment="1">
      <alignment horizontal="right" vertical="center"/>
    </xf>
    <xf numFmtId="0" fontId="1" fillId="7" borderId="1" xfId="0" applyFont="1" applyFill="1" applyBorder="1" applyAlignment="1">
      <alignment wrapText="1"/>
    </xf>
    <xf numFmtId="1" fontId="2" fillId="19" borderId="1" xfId="0" applyNumberFormat="1" applyFont="1" applyFill="1" applyBorder="1" applyAlignment="1">
      <alignment vertical="center"/>
    </xf>
    <xf numFmtId="1" fontId="2" fillId="18" borderId="1" xfId="0" applyNumberFormat="1" applyFont="1" applyFill="1" applyBorder="1" applyAlignment="1">
      <alignment vertical="center"/>
    </xf>
    <xf numFmtId="3" fontId="1" fillId="19" borderId="1" xfId="0" applyNumberFormat="1" applyFont="1" applyFill="1" applyBorder="1" applyAlignment="1">
      <alignment horizontal="center" vertical="center"/>
    </xf>
    <xf numFmtId="3" fontId="1" fillId="18" borderId="1" xfId="0" applyNumberFormat="1" applyFont="1" applyFill="1" applyBorder="1" applyAlignment="1">
      <alignment horizontal="center" vertical="center"/>
    </xf>
    <xf numFmtId="3" fontId="5" fillId="18" borderId="1" xfId="0" applyNumberFormat="1" applyFont="1" applyFill="1" applyBorder="1"/>
    <xf numFmtId="3" fontId="13" fillId="18" borderId="1" xfId="0" applyNumberFormat="1" applyFont="1" applyFill="1" applyBorder="1"/>
    <xf numFmtId="3" fontId="9" fillId="18" borderId="1" xfId="0" applyNumberFormat="1" applyFont="1" applyFill="1" applyBorder="1" applyAlignment="1">
      <alignment horizontal="right" vertical="center"/>
    </xf>
    <xf numFmtId="3" fontId="1" fillId="3" borderId="1" xfId="0" applyNumberFormat="1" applyFont="1" applyFill="1" applyBorder="1"/>
    <xf numFmtId="3" fontId="1" fillId="18" borderId="1" xfId="0" applyNumberFormat="1" applyFont="1" applyFill="1" applyBorder="1"/>
    <xf numFmtId="0" fontId="24" fillId="10" borderId="0" xfId="0" applyFont="1" applyFill="1" applyBorder="1" applyAlignment="1">
      <alignment horizontal="left" wrapText="1"/>
    </xf>
    <xf numFmtId="0" fontId="24" fillId="2" borderId="1" xfId="0" applyFont="1" applyFill="1" applyBorder="1" applyAlignment="1">
      <alignment horizontal="left" wrapText="1"/>
    </xf>
    <xf numFmtId="3" fontId="1" fillId="3" borderId="1" xfId="0" applyNumberFormat="1" applyFont="1" applyFill="1" applyBorder="1" applyAlignment="1">
      <alignment vertical="center"/>
    </xf>
    <xf numFmtId="3" fontId="1" fillId="18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164" fontId="3" fillId="16" borderId="11" xfId="0" applyNumberFormat="1" applyFont="1" applyFill="1" applyBorder="1"/>
    <xf numFmtId="0" fontId="11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wrapText="1"/>
    </xf>
    <xf numFmtId="165" fontId="3" fillId="4" borderId="1" xfId="0" applyNumberFormat="1" applyFont="1" applyFill="1" applyBorder="1" applyAlignment="1">
      <alignment vertical="center"/>
    </xf>
    <xf numFmtId="165" fontId="0" fillId="4" borderId="1" xfId="3" applyNumberFormat="1" applyFont="1" applyFill="1" applyBorder="1" applyAlignment="1">
      <alignment vertical="center" wrapText="1"/>
    </xf>
    <xf numFmtId="165" fontId="0" fillId="4" borderId="20" xfId="3" applyNumberFormat="1" applyFont="1" applyFill="1" applyBorder="1" applyAlignment="1">
      <alignment vertical="center" wrapText="1"/>
    </xf>
    <xf numFmtId="165" fontId="0" fillId="4" borderId="14" xfId="3" applyNumberFormat="1" applyFont="1" applyFill="1" applyBorder="1" applyAlignment="1">
      <alignment vertical="center" wrapText="1"/>
    </xf>
    <xf numFmtId="165" fontId="9" fillId="4" borderId="14" xfId="0" applyNumberFormat="1" applyFont="1" applyFill="1" applyBorder="1" applyAlignment="1">
      <alignment horizontal="right" vertical="center" wrapText="1"/>
    </xf>
    <xf numFmtId="0" fontId="0" fillId="4" borderId="14" xfId="0" applyFill="1" applyBorder="1" applyAlignment="1">
      <alignment horizontal="justify" vertical="center" wrapText="1"/>
    </xf>
    <xf numFmtId="165" fontId="17" fillId="4" borderId="14" xfId="3" applyNumberFormat="1" applyFont="1" applyFill="1" applyBorder="1" applyAlignment="1">
      <alignment horizontal="center" vertical="center" wrapText="1"/>
    </xf>
    <xf numFmtId="3" fontId="33" fillId="0" borderId="0" xfId="0" applyNumberFormat="1" applyFont="1"/>
    <xf numFmtId="9" fontId="23" fillId="0" borderId="1" xfId="1" applyFont="1" applyBorder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9" borderId="1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10" fillId="11" borderId="10" xfId="0" applyFont="1" applyFill="1" applyBorder="1" applyAlignment="1">
      <alignment horizontal="left" vertical="center"/>
    </xf>
    <xf numFmtId="0" fontId="10" fillId="11" borderId="11" xfId="0" applyFont="1" applyFill="1" applyBorder="1" applyAlignment="1">
      <alignment horizontal="left" vertical="center"/>
    </xf>
    <xf numFmtId="0" fontId="6" fillId="10" borderId="10" xfId="0" applyFont="1" applyFill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8" borderId="5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/>
    </xf>
    <xf numFmtId="0" fontId="9" fillId="9" borderId="4" xfId="0" applyFont="1" applyFill="1" applyBorder="1" applyAlignment="1">
      <alignment horizontal="center" vertical="center"/>
    </xf>
    <xf numFmtId="0" fontId="9" fillId="9" borderId="3" xfId="0" applyFont="1" applyFill="1" applyBorder="1" applyAlignment="1">
      <alignment horizontal="center" vertical="center"/>
    </xf>
    <xf numFmtId="0" fontId="28" fillId="0" borderId="10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2" fillId="12" borderId="7" xfId="0" applyFont="1" applyFill="1" applyBorder="1" applyAlignment="1">
      <alignment horizontal="center" vertical="center"/>
    </xf>
    <xf numFmtId="0" fontId="12" fillId="12" borderId="12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3" fontId="2" fillId="18" borderId="2" xfId="0" applyNumberFormat="1" applyFont="1" applyFill="1" applyBorder="1" applyAlignment="1">
      <alignment horizontal="center" vertical="center"/>
    </xf>
    <xf numFmtId="3" fontId="2" fillId="18" borderId="3" xfId="0" applyNumberFormat="1" applyFont="1" applyFill="1" applyBorder="1" applyAlignment="1">
      <alignment horizontal="center" vertical="center"/>
    </xf>
    <xf numFmtId="3" fontId="1" fillId="18" borderId="1" xfId="0" applyNumberFormat="1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3" fontId="1" fillId="18" borderId="1" xfId="0" applyNumberFormat="1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7" borderId="21" xfId="0" applyFont="1" applyFill="1" applyBorder="1" applyAlignment="1">
      <alignment horizontal="center" vertical="center"/>
    </xf>
    <xf numFmtId="0" fontId="7" fillId="7" borderId="22" xfId="0" applyFont="1" applyFill="1" applyBorder="1" applyAlignment="1">
      <alignment horizontal="center" vertical="center"/>
    </xf>
    <xf numFmtId="0" fontId="7" fillId="14" borderId="1" xfId="0" applyFont="1" applyFill="1" applyBorder="1" applyAlignment="1">
      <alignment horizontal="center" vertical="center"/>
    </xf>
    <xf numFmtId="0" fontId="9" fillId="13" borderId="15" xfId="0" applyFont="1" applyFill="1" applyBorder="1" applyAlignment="1">
      <alignment horizontal="center" vertical="center" wrapText="1"/>
    </xf>
    <xf numFmtId="0" fontId="9" fillId="13" borderId="16" xfId="0" applyFont="1" applyFill="1" applyBorder="1" applyAlignment="1">
      <alignment horizontal="center" vertical="center" wrapText="1"/>
    </xf>
    <xf numFmtId="0" fontId="9" fillId="13" borderId="17" xfId="0" applyFont="1" applyFill="1" applyBorder="1" applyAlignment="1">
      <alignment horizontal="center" vertical="center" wrapText="1"/>
    </xf>
    <xf numFmtId="0" fontId="9" fillId="13" borderId="18" xfId="0" applyFont="1" applyFill="1" applyBorder="1" applyAlignment="1">
      <alignment horizontal="center" vertical="center" wrapText="1"/>
    </xf>
    <xf numFmtId="0" fontId="9" fillId="13" borderId="19" xfId="0" applyFont="1" applyFill="1" applyBorder="1" applyAlignment="1">
      <alignment horizontal="center" vertical="center" wrapText="1"/>
    </xf>
    <xf numFmtId="0" fontId="9" fillId="13" borderId="2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 wrapText="1"/>
    </xf>
    <xf numFmtId="0" fontId="29" fillId="3" borderId="4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9" fillId="13" borderId="1" xfId="0" applyFont="1" applyFill="1" applyBorder="1" applyAlignment="1">
      <alignment horizontal="center" vertical="center" wrapText="1"/>
    </xf>
    <xf numFmtId="0" fontId="5" fillId="13" borderId="1" xfId="0" applyFont="1" applyFill="1" applyBorder="1" applyAlignment="1">
      <alignment horizontal="center" vertical="center" wrapText="1"/>
    </xf>
  </cellXfs>
  <cellStyles count="4">
    <cellStyle name="Moeda" xfId="3" builtinId="4"/>
    <cellStyle name="Normal" xfId="0" builtinId="0"/>
    <cellStyle name="Normal 2" xfId="2"/>
    <cellStyle name="Porcentagem" xfId="1" builtinId="5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" formatCode="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Consumo</a:t>
            </a:r>
            <a:r>
              <a:rPr lang="pt-BR" baseline="0"/>
              <a:t> Mensal A4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'Histórico Consumo CT 29.2018'!$B$2:$B$2</c:f>
              <c:strCache>
                <c:ptCount val="1"/>
                <c:pt idx="0">
                  <c:v>Monocromática</c:v>
                </c:pt>
              </c:strCache>
            </c:strRef>
          </c:tx>
          <c:spPr>
            <a:ln w="349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29.2018'!$A$3:$A$17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29.2018'!$B$3:$B$17</c:f>
              <c:numCache>
                <c:formatCode>#,##0</c:formatCode>
                <c:ptCount val="15"/>
                <c:pt idx="0">
                  <c:v>39253.386363636368</c:v>
                </c:pt>
                <c:pt idx="1">
                  <c:v>53762.38636363636</c:v>
                </c:pt>
                <c:pt idx="2">
                  <c:v>48673.38636363636</c:v>
                </c:pt>
                <c:pt idx="3">
                  <c:v>41090.386363636368</c:v>
                </c:pt>
                <c:pt idx="4">
                  <c:v>41734.386363636368</c:v>
                </c:pt>
                <c:pt idx="5">
                  <c:v>38052.636363636368</c:v>
                </c:pt>
                <c:pt idx="6">
                  <c:v>35162.636363636368</c:v>
                </c:pt>
                <c:pt idx="7">
                  <c:v>43143</c:v>
                </c:pt>
                <c:pt idx="8">
                  <c:v>42968</c:v>
                </c:pt>
                <c:pt idx="9">
                  <c:v>40185</c:v>
                </c:pt>
                <c:pt idx="10">
                  <c:v>45196</c:v>
                </c:pt>
                <c:pt idx="11">
                  <c:v>35574</c:v>
                </c:pt>
                <c:pt idx="12">
                  <c:v>31776</c:v>
                </c:pt>
                <c:pt idx="13">
                  <c:v>34115</c:v>
                </c:pt>
                <c:pt idx="14">
                  <c:v>38409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88-464A-8053-3EFF50BBE6C5}"/>
            </c:ext>
          </c:extLst>
        </c:ser>
        <c:ser>
          <c:idx val="1"/>
          <c:order val="1"/>
          <c:tx>
            <c:strRef>
              <c:f>'Histórico Consumo CT 29.2018'!$C$2:$C$2</c:f>
              <c:strCache>
                <c:ptCount val="1"/>
                <c:pt idx="0">
                  <c:v>Policromática</c:v>
                </c:pt>
              </c:strCache>
            </c:strRef>
          </c:tx>
          <c:spPr>
            <a:ln w="34925" cap="rnd">
              <a:solidFill>
                <a:srgbClr val="00B0F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29.2018'!$A$3:$A$17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29.2018'!$C$3:$C$17</c:f>
              <c:numCache>
                <c:formatCode>#,##0</c:formatCode>
                <c:ptCount val="15"/>
                <c:pt idx="0">
                  <c:v>17414.630681818184</c:v>
                </c:pt>
                <c:pt idx="1">
                  <c:v>29501.63068181818</c:v>
                </c:pt>
                <c:pt idx="2">
                  <c:v>25316.63068181818</c:v>
                </c:pt>
                <c:pt idx="3">
                  <c:v>21383.63068181818</c:v>
                </c:pt>
                <c:pt idx="4">
                  <c:v>24729.63068181818</c:v>
                </c:pt>
                <c:pt idx="5">
                  <c:v>18691.818181818184</c:v>
                </c:pt>
                <c:pt idx="6">
                  <c:v>18484.818181818184</c:v>
                </c:pt>
                <c:pt idx="7">
                  <c:v>22247</c:v>
                </c:pt>
                <c:pt idx="8">
                  <c:v>17288</c:v>
                </c:pt>
                <c:pt idx="9">
                  <c:v>26792</c:v>
                </c:pt>
                <c:pt idx="10">
                  <c:v>19352</c:v>
                </c:pt>
                <c:pt idx="11">
                  <c:v>15293</c:v>
                </c:pt>
                <c:pt idx="12">
                  <c:v>20693</c:v>
                </c:pt>
                <c:pt idx="13">
                  <c:v>17177</c:v>
                </c:pt>
                <c:pt idx="14">
                  <c:v>21589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88-464A-8053-3EFF50BBE6C5}"/>
            </c:ext>
          </c:extLst>
        </c:ser>
        <c:ser>
          <c:idx val="2"/>
          <c:order val="2"/>
          <c:tx>
            <c:strRef>
              <c:f>'Histórico Consumo CT 29.2018'!$D$2:$D$2</c:f>
              <c:strCache>
                <c:ptCount val="1"/>
                <c:pt idx="0">
                  <c:v>Franquia Monocromática</c:v>
                </c:pt>
              </c:strCache>
            </c:strRef>
          </c:tx>
          <c:spPr>
            <a:ln w="12700" cap="rnd">
              <a:solidFill>
                <a:schemeClr val="accent6">
                  <a:lumMod val="40000"/>
                  <a:lumOff val="60000"/>
                </a:schemeClr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29.2018'!$A$3:$A$17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29.2018'!$D$3:$D$17</c:f>
              <c:numCache>
                <c:formatCode>#,##0</c:formatCode>
                <c:ptCount val="15"/>
                <c:pt idx="0">
                  <c:v>55578</c:v>
                </c:pt>
                <c:pt idx="1">
                  <c:v>55578</c:v>
                </c:pt>
                <c:pt idx="2">
                  <c:v>55578</c:v>
                </c:pt>
                <c:pt idx="3">
                  <c:v>55578</c:v>
                </c:pt>
                <c:pt idx="4">
                  <c:v>55578</c:v>
                </c:pt>
                <c:pt idx="5">
                  <c:v>55578</c:v>
                </c:pt>
                <c:pt idx="6">
                  <c:v>55578</c:v>
                </c:pt>
                <c:pt idx="7">
                  <c:v>55578</c:v>
                </c:pt>
                <c:pt idx="8">
                  <c:v>55578</c:v>
                </c:pt>
                <c:pt idx="9">
                  <c:v>55578</c:v>
                </c:pt>
                <c:pt idx="10">
                  <c:v>55578</c:v>
                </c:pt>
                <c:pt idx="11">
                  <c:v>55578</c:v>
                </c:pt>
                <c:pt idx="12">
                  <c:v>55578</c:v>
                </c:pt>
                <c:pt idx="13">
                  <c:v>55578</c:v>
                </c:pt>
                <c:pt idx="14">
                  <c:v>55578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688-464A-8053-3EFF50BBE6C5}"/>
            </c:ext>
          </c:extLst>
        </c:ser>
        <c:ser>
          <c:idx val="3"/>
          <c:order val="3"/>
          <c:tx>
            <c:strRef>
              <c:f>'Histórico Consumo CT 29.2018'!$E$2:$E$2</c:f>
              <c:strCache>
                <c:ptCount val="1"/>
                <c:pt idx="0">
                  <c:v>Franquia Policromática</c:v>
                </c:pt>
              </c:strCache>
            </c:strRef>
          </c:tx>
          <c:spPr>
            <a:ln w="12700" cap="rnd">
              <a:solidFill>
                <a:schemeClr val="accent5">
                  <a:lumMod val="20000"/>
                  <a:lumOff val="80000"/>
                </a:schemeClr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29.2018'!$A$3:$A$17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29.2018'!$E$3:$E$17</c:f>
              <c:numCache>
                <c:formatCode>#,##0</c:formatCode>
                <c:ptCount val="15"/>
                <c:pt idx="0">
                  <c:v>15438</c:v>
                </c:pt>
                <c:pt idx="1">
                  <c:v>15438</c:v>
                </c:pt>
                <c:pt idx="2">
                  <c:v>15438</c:v>
                </c:pt>
                <c:pt idx="3">
                  <c:v>15438</c:v>
                </c:pt>
                <c:pt idx="4">
                  <c:v>15438</c:v>
                </c:pt>
                <c:pt idx="5">
                  <c:v>15438</c:v>
                </c:pt>
                <c:pt idx="6">
                  <c:v>15438</c:v>
                </c:pt>
                <c:pt idx="7">
                  <c:v>15438</c:v>
                </c:pt>
                <c:pt idx="8">
                  <c:v>15438</c:v>
                </c:pt>
                <c:pt idx="9">
                  <c:v>15438</c:v>
                </c:pt>
                <c:pt idx="10">
                  <c:v>15438</c:v>
                </c:pt>
                <c:pt idx="11">
                  <c:v>15438</c:v>
                </c:pt>
                <c:pt idx="12">
                  <c:v>15438</c:v>
                </c:pt>
                <c:pt idx="13">
                  <c:v>15438</c:v>
                </c:pt>
                <c:pt idx="14">
                  <c:v>15438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88-464A-8053-3EFF50BBE6C5}"/>
            </c:ext>
          </c:extLst>
        </c:ser>
        <c:ser>
          <c:idx val="4"/>
          <c:order val="4"/>
          <c:tx>
            <c:strRef>
              <c:f>'Histórico Consumo CT 29.2018'!$F$2:$F$2</c:f>
              <c:strCache>
                <c:ptCount val="1"/>
                <c:pt idx="0">
                  <c:v>Média Monocromática</c:v>
                </c:pt>
              </c:strCache>
            </c:strRef>
          </c:tx>
          <c:spPr>
            <a:ln w="127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29.2018'!$A$3:$A$17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29.2018'!$F$3:$F$17</c:f>
              <c:numCache>
                <c:formatCode>#,##0</c:formatCode>
                <c:ptCount val="15"/>
                <c:pt idx="0">
                  <c:v>40606</c:v>
                </c:pt>
                <c:pt idx="1">
                  <c:v>40606</c:v>
                </c:pt>
                <c:pt idx="2">
                  <c:v>40606</c:v>
                </c:pt>
                <c:pt idx="3">
                  <c:v>40606</c:v>
                </c:pt>
                <c:pt idx="4">
                  <c:v>40606</c:v>
                </c:pt>
                <c:pt idx="5">
                  <c:v>40606</c:v>
                </c:pt>
                <c:pt idx="6">
                  <c:v>40606</c:v>
                </c:pt>
                <c:pt idx="7">
                  <c:v>40606</c:v>
                </c:pt>
                <c:pt idx="8">
                  <c:v>40606</c:v>
                </c:pt>
                <c:pt idx="9">
                  <c:v>40606</c:v>
                </c:pt>
                <c:pt idx="10">
                  <c:v>40606</c:v>
                </c:pt>
                <c:pt idx="11">
                  <c:v>40606</c:v>
                </c:pt>
                <c:pt idx="12">
                  <c:v>40606</c:v>
                </c:pt>
                <c:pt idx="13">
                  <c:v>40606</c:v>
                </c:pt>
                <c:pt idx="14">
                  <c:v>40606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88-464A-8053-3EFF50BBE6C5}"/>
            </c:ext>
          </c:extLst>
        </c:ser>
        <c:ser>
          <c:idx val="5"/>
          <c:order val="5"/>
          <c:tx>
            <c:strRef>
              <c:f>'Histórico Consumo CT 29.2018'!$G$2:$G$2</c:f>
              <c:strCache>
                <c:ptCount val="1"/>
                <c:pt idx="0">
                  <c:v>Média Policromática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prstDash val="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29.2018'!$A$3:$A$17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29.2018'!$G$3:$G$17</c:f>
              <c:numCache>
                <c:formatCode>#,##0</c:formatCode>
                <c:ptCount val="15"/>
                <c:pt idx="0">
                  <c:v>21064</c:v>
                </c:pt>
                <c:pt idx="1">
                  <c:v>21064</c:v>
                </c:pt>
                <c:pt idx="2">
                  <c:v>21064</c:v>
                </c:pt>
                <c:pt idx="3">
                  <c:v>21064</c:v>
                </c:pt>
                <c:pt idx="4">
                  <c:v>21064</c:v>
                </c:pt>
                <c:pt idx="5">
                  <c:v>21064</c:v>
                </c:pt>
                <c:pt idx="6">
                  <c:v>21064</c:v>
                </c:pt>
                <c:pt idx="7">
                  <c:v>21064</c:v>
                </c:pt>
                <c:pt idx="8">
                  <c:v>21064</c:v>
                </c:pt>
                <c:pt idx="9">
                  <c:v>21064</c:v>
                </c:pt>
                <c:pt idx="10">
                  <c:v>21064</c:v>
                </c:pt>
                <c:pt idx="11">
                  <c:v>21064</c:v>
                </c:pt>
                <c:pt idx="12">
                  <c:v>21064</c:v>
                </c:pt>
                <c:pt idx="13">
                  <c:v>21064</c:v>
                </c:pt>
                <c:pt idx="14">
                  <c:v>21064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688-464A-8053-3EFF50BBE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3854959"/>
        <c:axId val="1953855375"/>
      </c:lineChart>
      <c:catAx>
        <c:axId val="19538549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53855375"/>
        <c:crosses val="autoZero"/>
        <c:auto val="1"/>
        <c:lblAlgn val="ctr"/>
        <c:lblOffset val="100"/>
        <c:noMultiLvlLbl val="0"/>
      </c:catAx>
      <c:valAx>
        <c:axId val="195385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53854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800" b="1" i="0" baseline="0">
                <a:effectLst>
                  <a:outerShdw blurRad="50800" dist="38100" dir="5400000" algn="t" rotWithShape="0">
                    <a:srgbClr val="000000">
                      <a:alpha val="40000"/>
                    </a:srgbClr>
                  </a:outerShdw>
                </a:effectLst>
              </a:rPr>
              <a:t>Consumo Mensal A3</a:t>
            </a:r>
            <a:endParaRPr lang="pt-BR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'Histórico Consumo CT 29.2018'!$B$24</c:f>
              <c:strCache>
                <c:ptCount val="1"/>
                <c:pt idx="0">
                  <c:v>Monocromática</c:v>
                </c:pt>
              </c:strCache>
            </c:strRef>
          </c:tx>
          <c:spPr>
            <a:ln w="34925" cap="rnd">
              <a:solidFill>
                <a:srgbClr val="00B05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29.2018'!$A$25:$A$39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29.2018'!$B$25:$B$39</c:f>
              <c:numCache>
                <c:formatCode>#,##0</c:formatCode>
                <c:ptCount val="15"/>
                <c:pt idx="0">
                  <c:v>71</c:v>
                </c:pt>
                <c:pt idx="1">
                  <c:v>14</c:v>
                </c:pt>
                <c:pt idx="2">
                  <c:v>16</c:v>
                </c:pt>
                <c:pt idx="3">
                  <c:v>15</c:v>
                </c:pt>
                <c:pt idx="4">
                  <c:v>31</c:v>
                </c:pt>
                <c:pt idx="5">
                  <c:v>25</c:v>
                </c:pt>
                <c:pt idx="6">
                  <c:v>26</c:v>
                </c:pt>
                <c:pt idx="7">
                  <c:v>14</c:v>
                </c:pt>
                <c:pt idx="8">
                  <c:v>2</c:v>
                </c:pt>
                <c:pt idx="9">
                  <c:v>9</c:v>
                </c:pt>
                <c:pt idx="10">
                  <c:v>60</c:v>
                </c:pt>
                <c:pt idx="11">
                  <c:v>26</c:v>
                </c:pt>
                <c:pt idx="12">
                  <c:v>41</c:v>
                </c:pt>
                <c:pt idx="13">
                  <c:v>39</c:v>
                </c:pt>
                <c:pt idx="1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BD-4355-9644-E4EFA9771A2B}"/>
            </c:ext>
          </c:extLst>
        </c:ser>
        <c:ser>
          <c:idx val="1"/>
          <c:order val="1"/>
          <c:tx>
            <c:strRef>
              <c:f>'Histórico Consumo CT 29.2018'!$C$24</c:f>
              <c:strCache>
                <c:ptCount val="1"/>
                <c:pt idx="0">
                  <c:v>Policromática</c:v>
                </c:pt>
              </c:strCache>
            </c:strRef>
          </c:tx>
          <c:spPr>
            <a:ln w="34925" cap="rnd">
              <a:solidFill>
                <a:srgbClr val="00B0F0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29.2018'!$A$25:$A$39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29.2018'!$C$25:$C$39</c:f>
              <c:numCache>
                <c:formatCode>#,##0</c:formatCode>
                <c:ptCount val="15"/>
                <c:pt idx="0">
                  <c:v>145</c:v>
                </c:pt>
                <c:pt idx="1">
                  <c:v>10</c:v>
                </c:pt>
                <c:pt idx="2">
                  <c:v>101</c:v>
                </c:pt>
                <c:pt idx="3">
                  <c:v>40</c:v>
                </c:pt>
                <c:pt idx="4">
                  <c:v>99</c:v>
                </c:pt>
                <c:pt idx="5">
                  <c:v>47</c:v>
                </c:pt>
                <c:pt idx="6">
                  <c:v>33</c:v>
                </c:pt>
                <c:pt idx="7">
                  <c:v>52</c:v>
                </c:pt>
                <c:pt idx="8">
                  <c:v>14</c:v>
                </c:pt>
                <c:pt idx="9">
                  <c:v>36</c:v>
                </c:pt>
                <c:pt idx="10">
                  <c:v>71</c:v>
                </c:pt>
                <c:pt idx="11">
                  <c:v>89</c:v>
                </c:pt>
                <c:pt idx="12">
                  <c:v>115</c:v>
                </c:pt>
                <c:pt idx="13">
                  <c:v>65</c:v>
                </c:pt>
                <c:pt idx="1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BD-4355-9644-E4EFA9771A2B}"/>
            </c:ext>
          </c:extLst>
        </c:ser>
        <c:ser>
          <c:idx val="2"/>
          <c:order val="2"/>
          <c:tx>
            <c:strRef>
              <c:f>'Histórico Consumo CT 29.2018'!$D$24</c:f>
              <c:strCache>
                <c:ptCount val="1"/>
                <c:pt idx="0">
                  <c:v>Franquia Mono/ Poli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ot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29.2018'!$A$25:$A$39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29.2018'!$D$25:$D$39</c:f>
              <c:numCache>
                <c:formatCode>#,##0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BD-4355-9644-E4EFA9771A2B}"/>
            </c:ext>
          </c:extLst>
        </c:ser>
        <c:ser>
          <c:idx val="3"/>
          <c:order val="3"/>
          <c:tx>
            <c:strRef>
              <c:f>'Histórico Consumo CT 29.2018'!$E$24</c:f>
              <c:strCache>
                <c:ptCount val="1"/>
                <c:pt idx="0">
                  <c:v>Média Monocromática</c:v>
                </c:pt>
              </c:strCache>
            </c:strRef>
          </c:tx>
          <c:spPr>
            <a:ln w="12700" cap="rnd">
              <a:solidFill>
                <a:schemeClr val="accent6">
                  <a:lumMod val="75000"/>
                </a:schemeClr>
              </a:solidFill>
              <a:prstDash val="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29.2018'!$A$25:$A$39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29.2018'!$E$25:$E$39</c:f>
              <c:numCache>
                <c:formatCode>#,##0</c:formatCode>
                <c:ptCount val="15"/>
                <c:pt idx="0">
                  <c:v>26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BD-4355-9644-E4EFA9771A2B}"/>
            </c:ext>
          </c:extLst>
        </c:ser>
        <c:ser>
          <c:idx val="4"/>
          <c:order val="4"/>
          <c:tx>
            <c:strRef>
              <c:f>'Histórico Consumo CT 29.2018'!$F$24</c:f>
              <c:strCache>
                <c:ptCount val="1"/>
                <c:pt idx="0">
                  <c:v>Média Policromática</c:v>
                </c:pt>
              </c:strCache>
            </c:strRef>
          </c:tx>
          <c:spPr>
            <a:ln w="12700" cap="rnd">
              <a:solidFill>
                <a:schemeClr val="accent1">
                  <a:lumMod val="60000"/>
                  <a:lumOff val="40000"/>
                </a:schemeClr>
              </a:solidFill>
              <a:prstDash val="dash"/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f>'Histórico Consumo CT 29.2018'!$A$25:$A$39</c:f>
              <c:strCache>
                <c:ptCount val="15"/>
                <c:pt idx="0">
                  <c:v>Jan/2023</c:v>
                </c:pt>
                <c:pt idx="1">
                  <c:v>Fev/2023</c:v>
                </c:pt>
                <c:pt idx="2">
                  <c:v>Mar/2023</c:v>
                </c:pt>
                <c:pt idx="3">
                  <c:v>Abr/2023</c:v>
                </c:pt>
                <c:pt idx="4">
                  <c:v>Mai/2023</c:v>
                </c:pt>
                <c:pt idx="5">
                  <c:v>Jun/2023</c:v>
                </c:pt>
                <c:pt idx="6">
                  <c:v>Jul/2023</c:v>
                </c:pt>
                <c:pt idx="7">
                  <c:v>Ago/2023</c:v>
                </c:pt>
                <c:pt idx="8">
                  <c:v>Set/2023</c:v>
                </c:pt>
                <c:pt idx="9">
                  <c:v>Out/2023</c:v>
                </c:pt>
                <c:pt idx="10">
                  <c:v>Nov/2023</c:v>
                </c:pt>
                <c:pt idx="11">
                  <c:v>Dez/2023</c:v>
                </c:pt>
                <c:pt idx="12">
                  <c:v>Jan/2024</c:v>
                </c:pt>
                <c:pt idx="13">
                  <c:v>Fev/2024</c:v>
                </c:pt>
                <c:pt idx="14">
                  <c:v>Mar/2024</c:v>
                </c:pt>
              </c:strCache>
            </c:strRef>
          </c:cat>
          <c:val>
            <c:numRef>
              <c:f>'Histórico Consumo CT 29.2018'!$F$25:$F$39</c:f>
              <c:numCache>
                <c:formatCode>#,##0</c:formatCode>
                <c:ptCount val="15"/>
                <c:pt idx="0">
                  <c:v>63</c:v>
                </c:pt>
                <c:pt idx="1">
                  <c:v>63</c:v>
                </c:pt>
                <c:pt idx="2">
                  <c:v>63</c:v>
                </c:pt>
                <c:pt idx="3">
                  <c:v>63</c:v>
                </c:pt>
                <c:pt idx="4">
                  <c:v>63</c:v>
                </c:pt>
                <c:pt idx="5">
                  <c:v>63</c:v>
                </c:pt>
                <c:pt idx="6">
                  <c:v>63</c:v>
                </c:pt>
                <c:pt idx="7">
                  <c:v>63</c:v>
                </c:pt>
                <c:pt idx="8">
                  <c:v>63</c:v>
                </c:pt>
                <c:pt idx="9">
                  <c:v>63</c:v>
                </c:pt>
                <c:pt idx="10">
                  <c:v>63</c:v>
                </c:pt>
                <c:pt idx="11">
                  <c:v>63</c:v>
                </c:pt>
                <c:pt idx="12">
                  <c:v>63</c:v>
                </c:pt>
                <c:pt idx="13">
                  <c:v>63</c:v>
                </c:pt>
                <c:pt idx="14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FBD-4355-9644-E4EFA9771A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2796063"/>
        <c:axId val="2012797727"/>
      </c:lineChart>
      <c:catAx>
        <c:axId val="20127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2797727"/>
        <c:crosses val="autoZero"/>
        <c:auto val="1"/>
        <c:lblAlgn val="ctr"/>
        <c:lblOffset val="100"/>
        <c:noMultiLvlLbl val="0"/>
      </c:catAx>
      <c:valAx>
        <c:axId val="20127977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12796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34437</xdr:colOff>
      <xdr:row>1</xdr:row>
      <xdr:rowOff>484309</xdr:rowOff>
    </xdr:from>
    <xdr:to>
      <xdr:col>8</xdr:col>
      <xdr:colOff>391991</xdr:colOff>
      <xdr:row>18</xdr:row>
      <xdr:rowOff>76932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37366</xdr:colOff>
      <xdr:row>24</xdr:row>
      <xdr:rowOff>15387</xdr:rowOff>
    </xdr:from>
    <xdr:to>
      <xdr:col>8</xdr:col>
      <xdr:colOff>403713</xdr:colOff>
      <xdr:row>39</xdr:row>
      <xdr:rowOff>91587</xdr:rowOff>
    </xdr:to>
    <xdr:graphicFrame macro="">
      <xdr:nvGraphicFramePr>
        <xdr:cNvPr id="12" name="Grá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Tabela4" displayName="Tabela4" ref="A2:G18" totalsRowShown="0" headerRowDxfId="18" dataDxfId="17" tableBorderDxfId="16">
  <tableColumns count="7">
    <tableColumn id="1" name="Meses/Ano" dataDxfId="15"/>
    <tableColumn id="2" name="Monocromática" dataDxfId="14"/>
    <tableColumn id="3" name="Policromática" dataDxfId="13"/>
    <tableColumn id="9" name="Franquia Monocromática" dataDxfId="12"/>
    <tableColumn id="10" name="Franquia Policromática" dataDxfId="11"/>
    <tableColumn id="12" name="Média Monocromática" dataDxfId="10">
      <calculatedColumnFormula>B19</calculatedColumnFormula>
    </tableColumn>
    <tableColumn id="13" name="Média Policromática" dataDxfId="9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7" name="Tabela478" displayName="Tabela478" ref="A24:F40" totalsRowShown="0" headerRowDxfId="8" dataDxfId="7" tableBorderDxfId="6">
  <tableColumns count="6">
    <tableColumn id="1" name="Meses/Ano" dataDxfId="5"/>
    <tableColumn id="4" name="Monocromática" dataDxfId="4"/>
    <tableColumn id="5" name="Policromática" dataDxfId="3"/>
    <tableColumn id="11" name="Franquia Mono/ Poli" dataDxfId="2"/>
    <tableColumn id="14" name="Média Monocromática" dataDxfId="1"/>
    <tableColumn id="15" name="Média Policromática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28"/>
  <sheetViews>
    <sheetView showGridLines="0" zoomScaleNormal="100" workbookViewId="0">
      <pane xSplit="6" ySplit="13" topLeftCell="G14" activePane="bottomRight" state="frozen"/>
      <selection pane="topRight" activeCell="G1" sqref="G1"/>
      <selection pane="bottomLeft" activeCell="A11" sqref="A11"/>
      <selection pane="bottomRight" activeCell="A4" sqref="A4:B5"/>
    </sheetView>
  </sheetViews>
  <sheetFormatPr defaultColWidth="9.140625" defaultRowHeight="12" x14ac:dyDescent="0.25"/>
  <cols>
    <col min="1" max="1" width="15.85546875" style="1" customWidth="1"/>
    <col min="2" max="2" width="11.42578125" style="1" customWidth="1"/>
    <col min="3" max="3" width="8.140625" style="1" customWidth="1"/>
    <col min="4" max="4" width="16.85546875" style="1" customWidth="1"/>
    <col min="5" max="5" width="9" style="1" customWidth="1"/>
    <col min="6" max="6" width="14.140625" style="1" customWidth="1"/>
    <col min="7" max="7" width="7.42578125" style="1" customWidth="1"/>
    <col min="8" max="8" width="7.85546875" style="1" customWidth="1"/>
    <col min="9" max="9" width="7.42578125" style="1" customWidth="1"/>
    <col min="10" max="10" width="7.85546875" style="1" customWidth="1"/>
    <col min="11" max="11" width="7.42578125" style="1" customWidth="1"/>
    <col min="12" max="12" width="7.85546875" style="1" customWidth="1"/>
    <col min="13" max="13" width="7.42578125" style="1" customWidth="1"/>
    <col min="14" max="14" width="7.85546875" style="1" customWidth="1"/>
    <col min="15" max="15" width="7.42578125" style="1" customWidth="1"/>
    <col min="16" max="16" width="7.85546875" style="1" customWidth="1"/>
    <col min="17" max="17" width="7.42578125" style="1" customWidth="1"/>
    <col min="18" max="18" width="7.85546875" style="1" customWidth="1"/>
    <col min="19" max="19" width="7.42578125" style="1" customWidth="1"/>
    <col min="20" max="33" width="7.85546875" style="1" customWidth="1"/>
    <col min="34" max="34" width="9.28515625" style="1" customWidth="1"/>
    <col min="35" max="35" width="7.85546875" style="1" customWidth="1"/>
    <col min="36" max="36" width="9.28515625" style="1" customWidth="1"/>
    <col min="37" max="37" width="8.85546875" style="1" bestFit="1" customWidth="1"/>
    <col min="38" max="38" width="10.5703125" style="1" customWidth="1"/>
    <col min="39" max="39" width="8.5703125" style="1" customWidth="1"/>
    <col min="40" max="40" width="7.85546875" style="1" customWidth="1"/>
    <col min="41" max="41" width="8.5703125" style="1" customWidth="1"/>
    <col min="42" max="42" width="7.85546875" style="1" customWidth="1"/>
    <col min="43" max="43" width="9.85546875" style="1" customWidth="1"/>
    <col min="44" max="44" width="7.85546875" style="1" customWidth="1"/>
    <col min="45" max="45" width="10.5703125" style="1" customWidth="1"/>
    <col min="46" max="46" width="8.5703125" style="1" customWidth="1"/>
    <col min="47" max="47" width="7.85546875" style="1" customWidth="1"/>
    <col min="48" max="48" width="8.7109375" style="1" customWidth="1"/>
    <col min="49" max="49" width="10.5703125" style="1" customWidth="1"/>
    <col min="50" max="50" width="8.5703125" style="1" customWidth="1"/>
    <col min="51" max="51" width="7.85546875" style="1" bestFit="1" customWidth="1"/>
    <col min="52" max="52" width="9.85546875" style="1" customWidth="1"/>
    <col min="53" max="53" width="7.85546875" style="1" customWidth="1"/>
    <col min="54" max="54" width="8.7109375" style="1" customWidth="1"/>
    <col min="55" max="55" width="7.85546875" style="1" customWidth="1"/>
    <col min="56" max="79" width="15.5703125" style="1" bestFit="1" customWidth="1"/>
    <col min="80" max="80" width="12.85546875" style="1" bestFit="1" customWidth="1"/>
    <col min="81" max="81" width="14.85546875" style="1" bestFit="1" customWidth="1"/>
    <col min="82" max="82" width="19.28515625" style="1" bestFit="1" customWidth="1"/>
    <col min="83" max="83" width="18.140625" style="1" bestFit="1" customWidth="1"/>
    <col min="84" max="109" width="19.5703125" style="1" bestFit="1" customWidth="1"/>
    <col min="110" max="110" width="12.85546875" style="1" bestFit="1" customWidth="1"/>
    <col min="111" max="111" width="14.85546875" style="1" bestFit="1" customWidth="1"/>
    <col min="112" max="112" width="23.28515625" style="1" bestFit="1" customWidth="1"/>
    <col min="113" max="113" width="19.28515625" style="1" bestFit="1" customWidth="1"/>
    <col min="114" max="114" width="18.140625" style="1" bestFit="1" customWidth="1"/>
    <col min="115" max="139" width="19.5703125" style="1" bestFit="1" customWidth="1"/>
    <col min="140" max="140" width="12.85546875" style="1" bestFit="1" customWidth="1"/>
    <col min="141" max="141" width="21.42578125" style="1" bestFit="1" customWidth="1"/>
    <col min="142" max="142" width="14.85546875" style="1" bestFit="1" customWidth="1"/>
    <col min="143" max="143" width="23.28515625" style="1" bestFit="1" customWidth="1"/>
    <col min="144" max="144" width="19.28515625" style="1" bestFit="1" customWidth="1"/>
    <col min="145" max="145" width="18.140625" style="1" bestFit="1" customWidth="1"/>
    <col min="146" max="151" width="19.85546875" style="1" bestFit="1" customWidth="1"/>
    <col min="152" max="152" width="19.28515625" style="1" bestFit="1" customWidth="1"/>
    <col min="153" max="153" width="13.42578125" style="1" bestFit="1" customWidth="1"/>
    <col min="154" max="154" width="21.42578125" style="1" bestFit="1" customWidth="1"/>
    <col min="155" max="155" width="18.140625" style="1" bestFit="1" customWidth="1"/>
    <col min="156" max="156" width="23.5703125" style="1" bestFit="1" customWidth="1"/>
    <col min="157" max="157" width="16.28515625" style="1" bestFit="1" customWidth="1"/>
    <col min="158" max="158" width="17.28515625" style="1" bestFit="1" customWidth="1"/>
    <col min="159" max="159" width="15.28515625" style="1" bestFit="1" customWidth="1"/>
    <col min="160" max="194" width="19.5703125" style="1" bestFit="1" customWidth="1"/>
    <col min="195" max="195" width="12.85546875" style="1" bestFit="1" customWidth="1"/>
    <col min="196" max="196" width="14.85546875" style="1" bestFit="1" customWidth="1"/>
    <col min="197" max="197" width="23.28515625" style="1" bestFit="1" customWidth="1"/>
    <col min="198" max="198" width="19.28515625" style="1" bestFit="1" customWidth="1"/>
    <col min="199" max="199" width="18.140625" style="1" bestFit="1" customWidth="1"/>
    <col min="200" max="241" width="19.5703125" style="1" bestFit="1" customWidth="1"/>
    <col min="242" max="242" width="12.85546875" style="1" bestFit="1" customWidth="1"/>
    <col min="243" max="243" width="21.42578125" style="1" bestFit="1" customWidth="1"/>
    <col min="244" max="244" width="14.85546875" style="1" bestFit="1" customWidth="1"/>
    <col min="245" max="245" width="23.28515625" style="1" bestFit="1" customWidth="1"/>
    <col min="246" max="246" width="19.28515625" style="1" bestFit="1" customWidth="1"/>
    <col min="247" max="247" width="18.140625" style="1" bestFit="1" customWidth="1"/>
    <col min="248" max="16384" width="9.140625" style="1"/>
  </cols>
  <sheetData>
    <row r="1" spans="1:44" ht="18.75" x14ac:dyDescent="0.25">
      <c r="A1" s="200" t="s">
        <v>322</v>
      </c>
      <c r="B1" s="200"/>
      <c r="C1" s="200"/>
      <c r="D1" s="200"/>
      <c r="E1" s="200"/>
      <c r="F1" s="200"/>
    </row>
    <row r="2" spans="1:44" ht="18.75" x14ac:dyDescent="0.25">
      <c r="A2" s="200" t="s">
        <v>103</v>
      </c>
      <c r="B2" s="200"/>
      <c r="C2" s="200"/>
      <c r="D2" s="200"/>
      <c r="E2" s="200"/>
      <c r="F2" s="200"/>
    </row>
    <row r="3" spans="1:44" ht="18.75" x14ac:dyDescent="0.25">
      <c r="A3" s="5"/>
      <c r="B3" s="6"/>
      <c r="C3" s="6"/>
      <c r="D3" s="6"/>
      <c r="E3" s="6"/>
      <c r="F3" s="6"/>
      <c r="AK3" s="238" t="s">
        <v>323</v>
      </c>
      <c r="AL3" s="239"/>
      <c r="AM3" s="239"/>
      <c r="AN3" s="239"/>
      <c r="AO3" s="239"/>
      <c r="AP3" s="239"/>
      <c r="AQ3" s="239"/>
      <c r="AR3" s="239"/>
    </row>
    <row r="4" spans="1:44" ht="15.75" customHeight="1" x14ac:dyDescent="0.25">
      <c r="A4" s="201" t="s">
        <v>135</v>
      </c>
      <c r="B4" s="201"/>
      <c r="C4" s="201" t="s">
        <v>101</v>
      </c>
      <c r="D4" s="201"/>
      <c r="E4" s="201"/>
      <c r="F4" s="201"/>
      <c r="G4" s="219" t="s">
        <v>102</v>
      </c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220"/>
      <c r="AC4" s="220"/>
      <c r="AD4" s="220"/>
      <c r="AE4" s="220"/>
      <c r="AF4" s="220"/>
      <c r="AG4" s="220"/>
      <c r="AH4" s="220"/>
      <c r="AI4" s="220"/>
      <c r="AJ4" s="221"/>
      <c r="AK4" s="222" t="s">
        <v>136</v>
      </c>
      <c r="AL4" s="223"/>
      <c r="AM4" s="215" t="s">
        <v>138</v>
      </c>
      <c r="AN4" s="216"/>
      <c r="AO4" s="226" t="s">
        <v>137</v>
      </c>
      <c r="AP4" s="227"/>
      <c r="AQ4" s="210" t="s">
        <v>139</v>
      </c>
      <c r="AR4" s="211"/>
    </row>
    <row r="5" spans="1:44" s="2" customFormat="1" ht="18.75" customHeight="1" x14ac:dyDescent="0.25">
      <c r="A5" s="201"/>
      <c r="B5" s="201"/>
      <c r="C5" s="201"/>
      <c r="D5" s="201"/>
      <c r="E5" s="201"/>
      <c r="F5" s="201"/>
      <c r="G5" s="199" t="s">
        <v>55</v>
      </c>
      <c r="H5" s="199"/>
      <c r="I5" s="199" t="s">
        <v>56</v>
      </c>
      <c r="J5" s="199"/>
      <c r="K5" s="199" t="s">
        <v>57</v>
      </c>
      <c r="L5" s="199"/>
      <c r="M5" s="199" t="s">
        <v>58</v>
      </c>
      <c r="N5" s="199"/>
      <c r="O5" s="199" t="s">
        <v>59</v>
      </c>
      <c r="P5" s="199"/>
      <c r="Q5" s="199" t="s">
        <v>60</v>
      </c>
      <c r="R5" s="199"/>
      <c r="S5" s="199" t="s">
        <v>61</v>
      </c>
      <c r="T5" s="199"/>
      <c r="U5" s="214" t="s">
        <v>259</v>
      </c>
      <c r="V5" s="214"/>
      <c r="W5" s="214" t="s">
        <v>260</v>
      </c>
      <c r="X5" s="214"/>
      <c r="Y5" s="214" t="s">
        <v>261</v>
      </c>
      <c r="Z5" s="214"/>
      <c r="AA5" s="214" t="s">
        <v>262</v>
      </c>
      <c r="AB5" s="214"/>
      <c r="AC5" s="214" t="s">
        <v>263</v>
      </c>
      <c r="AD5" s="214"/>
      <c r="AE5" s="214" t="s">
        <v>264</v>
      </c>
      <c r="AF5" s="214"/>
      <c r="AG5" s="214" t="s">
        <v>265</v>
      </c>
      <c r="AH5" s="214"/>
      <c r="AI5" s="214" t="s">
        <v>315</v>
      </c>
      <c r="AJ5" s="214"/>
      <c r="AK5" s="224"/>
      <c r="AL5" s="225"/>
      <c r="AM5" s="217"/>
      <c r="AN5" s="218"/>
      <c r="AO5" s="228"/>
      <c r="AP5" s="229"/>
      <c r="AQ5" s="212"/>
      <c r="AR5" s="213"/>
    </row>
    <row r="6" spans="1:44" s="2" customFormat="1" ht="12.95" customHeight="1" x14ac:dyDescent="0.25">
      <c r="A6" s="4" t="s">
        <v>0</v>
      </c>
      <c r="B6" s="4" t="s">
        <v>99</v>
      </c>
      <c r="C6" s="4" t="s">
        <v>114</v>
      </c>
      <c r="D6" s="4" t="s">
        <v>98</v>
      </c>
      <c r="E6" s="4" t="s">
        <v>113</v>
      </c>
      <c r="F6" s="4" t="s">
        <v>100</v>
      </c>
      <c r="G6" s="15" t="s">
        <v>62</v>
      </c>
      <c r="H6" s="16" t="s">
        <v>124</v>
      </c>
      <c r="I6" s="15" t="s">
        <v>62</v>
      </c>
      <c r="J6" s="16" t="s">
        <v>124</v>
      </c>
      <c r="K6" s="15" t="s">
        <v>62</v>
      </c>
      <c r="L6" s="16" t="s">
        <v>124</v>
      </c>
      <c r="M6" s="15" t="s">
        <v>62</v>
      </c>
      <c r="N6" s="16" t="s">
        <v>124</v>
      </c>
      <c r="O6" s="15" t="s">
        <v>62</v>
      </c>
      <c r="P6" s="16" t="s">
        <v>124</v>
      </c>
      <c r="Q6" s="15" t="s">
        <v>62</v>
      </c>
      <c r="R6" s="16" t="s">
        <v>124</v>
      </c>
      <c r="S6" s="15" t="s">
        <v>62</v>
      </c>
      <c r="T6" s="16" t="s">
        <v>124</v>
      </c>
      <c r="U6" s="31" t="s">
        <v>62</v>
      </c>
      <c r="V6" s="16" t="s">
        <v>124</v>
      </c>
      <c r="W6" s="31" t="s">
        <v>62</v>
      </c>
      <c r="X6" s="16" t="s">
        <v>124</v>
      </c>
      <c r="Y6" s="31" t="s">
        <v>62</v>
      </c>
      <c r="Z6" s="16" t="s">
        <v>124</v>
      </c>
      <c r="AA6" s="31" t="s">
        <v>62</v>
      </c>
      <c r="AB6" s="16" t="s">
        <v>124</v>
      </c>
      <c r="AC6" s="31" t="s">
        <v>62</v>
      </c>
      <c r="AD6" s="16" t="s">
        <v>124</v>
      </c>
      <c r="AE6" s="31" t="s">
        <v>62</v>
      </c>
      <c r="AF6" s="16" t="s">
        <v>124</v>
      </c>
      <c r="AG6" s="31" t="s">
        <v>62</v>
      </c>
      <c r="AH6" s="16" t="s">
        <v>124</v>
      </c>
      <c r="AI6" s="31" t="s">
        <v>62</v>
      </c>
      <c r="AJ6" s="16" t="s">
        <v>124</v>
      </c>
      <c r="AK6" s="31" t="s">
        <v>62</v>
      </c>
      <c r="AL6" s="16" t="s">
        <v>124</v>
      </c>
      <c r="AM6" s="31" t="s">
        <v>62</v>
      </c>
      <c r="AN6" s="16" t="s">
        <v>124</v>
      </c>
      <c r="AO6" s="31" t="s">
        <v>62</v>
      </c>
      <c r="AP6" s="16" t="s">
        <v>124</v>
      </c>
      <c r="AQ6" s="31" t="s">
        <v>62</v>
      </c>
      <c r="AR6" s="16" t="s">
        <v>124</v>
      </c>
    </row>
    <row r="7" spans="1:44" ht="12.75" x14ac:dyDescent="0.25">
      <c r="A7" s="9" t="s">
        <v>19</v>
      </c>
      <c r="B7" s="13" t="s">
        <v>65</v>
      </c>
      <c r="C7" s="11" t="s">
        <v>115</v>
      </c>
      <c r="D7" s="13" t="s">
        <v>154</v>
      </c>
      <c r="E7" s="7" t="s">
        <v>112</v>
      </c>
      <c r="F7" s="7" t="s">
        <v>191</v>
      </c>
      <c r="G7" s="17">
        <v>1620</v>
      </c>
      <c r="H7" s="18"/>
      <c r="I7" s="17">
        <v>1370</v>
      </c>
      <c r="J7" s="18"/>
      <c r="K7" s="17">
        <v>2395</v>
      </c>
      <c r="L7" s="18"/>
      <c r="M7" s="17">
        <v>1939</v>
      </c>
      <c r="N7" s="18"/>
      <c r="O7" s="17">
        <v>2202</v>
      </c>
      <c r="P7" s="18"/>
      <c r="Q7" s="17">
        <v>1348</v>
      </c>
      <c r="R7" s="18"/>
      <c r="S7" s="17">
        <v>1592</v>
      </c>
      <c r="T7" s="18"/>
      <c r="U7" s="17">
        <v>1657</v>
      </c>
      <c r="V7" s="18"/>
      <c r="W7" s="17">
        <v>1709</v>
      </c>
      <c r="X7" s="18"/>
      <c r="Y7" s="17">
        <v>1321</v>
      </c>
      <c r="Z7" s="18"/>
      <c r="AA7" s="17">
        <v>1587</v>
      </c>
      <c r="AB7" s="18"/>
      <c r="AC7" s="17">
        <v>1228</v>
      </c>
      <c r="AD7" s="18"/>
      <c r="AE7" s="17">
        <v>1235</v>
      </c>
      <c r="AF7" s="18"/>
      <c r="AG7" s="17">
        <v>2069</v>
      </c>
      <c r="AH7" s="18"/>
      <c r="AI7" s="17">
        <v>1678</v>
      </c>
      <c r="AJ7" s="18">
        <v>0</v>
      </c>
      <c r="AK7" s="26">
        <f t="shared" ref="AK7:AK38" si="0">SUM(G7,I7,K7,M7,O7,Q7,S7,U7,W7,Y7,AA7,AC7,AE7,AG7,AI7)</f>
        <v>24950</v>
      </c>
      <c r="AL7" s="27">
        <f t="shared" ref="AL7:AL38" si="1">SUM(H7,J7,L7,N7,P7,R7,T7,V7,X7,Z7,AB7,AD7,AF7,AH7,AJ7)</f>
        <v>0</v>
      </c>
      <c r="AM7" s="28">
        <f>AK7/15</f>
        <v>1663.3333333333333</v>
      </c>
      <c r="AN7" s="29">
        <f>AL7/15</f>
        <v>0</v>
      </c>
      <c r="AO7" s="26">
        <f t="shared" ref="AO7:AO38" si="2">MAX(G7,I7,K7,M7,O7,Q7,S7,U7,W7,Y7,AA7,AC7,AE7,AG7,AI7)</f>
        <v>2395</v>
      </c>
      <c r="AP7" s="27">
        <f t="shared" ref="AP7:AP38" si="3">MAX(H7,J7,L7,N7,P7,R7,T7,V7,X7,Z7,AB7,AD7,AF7,AH7,AJ7)</f>
        <v>0</v>
      </c>
      <c r="AQ7" s="26">
        <f t="shared" ref="AQ7:AQ38" si="4">IFERROR(STDEVP(G7,I7,K7,M7,O7,Q7,S7,U7,W7,Y7,AA7,AC7,AE7,AG7,AI7),"")</f>
        <v>342.23240966077748</v>
      </c>
      <c r="AR7" s="27">
        <f t="shared" ref="AR7:AR38" si="5">IFERROR(STDEVP(H7,J7,L7,N7,P7,R7,T7,V7,X7,Z7,AB7,AD7,AF7,AH7,AJ7),"")</f>
        <v>0</v>
      </c>
    </row>
    <row r="8" spans="1:44" ht="12.75" x14ac:dyDescent="0.25">
      <c r="A8" s="9" t="s">
        <v>9</v>
      </c>
      <c r="B8" s="13" t="s">
        <v>65</v>
      </c>
      <c r="C8" s="11" t="s">
        <v>115</v>
      </c>
      <c r="D8" s="13" t="s">
        <v>153</v>
      </c>
      <c r="E8" s="7" t="s">
        <v>64</v>
      </c>
      <c r="F8" s="7" t="s">
        <v>153</v>
      </c>
      <c r="G8" s="17">
        <v>728</v>
      </c>
      <c r="H8" s="18"/>
      <c r="I8" s="17">
        <v>1197</v>
      </c>
      <c r="J8" s="18"/>
      <c r="K8" s="17">
        <v>1569</v>
      </c>
      <c r="L8" s="18"/>
      <c r="M8" s="17">
        <v>1641</v>
      </c>
      <c r="N8" s="18"/>
      <c r="O8" s="17">
        <v>1204</v>
      </c>
      <c r="P8" s="18"/>
      <c r="Q8" s="17">
        <v>2480</v>
      </c>
      <c r="R8" s="18"/>
      <c r="S8" s="17">
        <v>1021</v>
      </c>
      <c r="T8" s="18"/>
      <c r="U8" s="17">
        <v>895</v>
      </c>
      <c r="V8" s="18"/>
      <c r="W8" s="17">
        <v>1029</v>
      </c>
      <c r="X8" s="18"/>
      <c r="Y8" s="17">
        <v>1216</v>
      </c>
      <c r="Z8" s="18"/>
      <c r="AA8" s="17">
        <v>1369</v>
      </c>
      <c r="AB8" s="18"/>
      <c r="AC8" s="17">
        <v>1303</v>
      </c>
      <c r="AD8" s="18"/>
      <c r="AE8" s="17">
        <v>1194</v>
      </c>
      <c r="AF8" s="18"/>
      <c r="AG8" s="17">
        <v>906</v>
      </c>
      <c r="AH8" s="18"/>
      <c r="AI8" s="17">
        <v>1555</v>
      </c>
      <c r="AJ8" s="18">
        <v>0</v>
      </c>
      <c r="AK8" s="26">
        <f t="shared" si="0"/>
        <v>19307</v>
      </c>
      <c r="AL8" s="27">
        <f t="shared" si="1"/>
        <v>0</v>
      </c>
      <c r="AM8" s="28">
        <f t="shared" ref="AM8:AM67" si="6">AK8/15</f>
        <v>1287.1333333333334</v>
      </c>
      <c r="AN8" s="29">
        <f t="shared" ref="AN8:AN67" si="7">AL8/15</f>
        <v>0</v>
      </c>
      <c r="AO8" s="26">
        <f t="shared" si="2"/>
        <v>2480</v>
      </c>
      <c r="AP8" s="27">
        <f t="shared" si="3"/>
        <v>0</v>
      </c>
      <c r="AQ8" s="26">
        <f t="shared" si="4"/>
        <v>406.95599543712609</v>
      </c>
      <c r="AR8" s="27">
        <f t="shared" si="5"/>
        <v>0</v>
      </c>
    </row>
    <row r="9" spans="1:44" ht="12.75" x14ac:dyDescent="0.25">
      <c r="A9" s="9" t="s">
        <v>1</v>
      </c>
      <c r="B9" s="14" t="s">
        <v>133</v>
      </c>
      <c r="C9" s="11" t="s">
        <v>127</v>
      </c>
      <c r="D9" s="14" t="s">
        <v>204</v>
      </c>
      <c r="E9" s="8" t="s">
        <v>112</v>
      </c>
      <c r="F9" s="8" t="s">
        <v>201</v>
      </c>
      <c r="G9" s="17">
        <v>276</v>
      </c>
      <c r="H9" s="18">
        <v>495</v>
      </c>
      <c r="I9" s="17">
        <v>122</v>
      </c>
      <c r="J9" s="18">
        <v>149</v>
      </c>
      <c r="K9" s="17">
        <v>216</v>
      </c>
      <c r="L9" s="18">
        <v>458</v>
      </c>
      <c r="M9" s="17">
        <v>302</v>
      </c>
      <c r="N9" s="18">
        <v>215</v>
      </c>
      <c r="O9" s="17">
        <v>250</v>
      </c>
      <c r="P9" s="18">
        <v>767</v>
      </c>
      <c r="Q9" s="17">
        <v>516</v>
      </c>
      <c r="R9" s="18">
        <v>400</v>
      </c>
      <c r="S9" s="17">
        <v>592</v>
      </c>
      <c r="T9" s="18">
        <v>413</v>
      </c>
      <c r="U9" s="17">
        <v>193</v>
      </c>
      <c r="V9" s="18">
        <v>212</v>
      </c>
      <c r="W9" s="17">
        <v>262</v>
      </c>
      <c r="X9" s="18">
        <v>95</v>
      </c>
      <c r="Y9" s="17">
        <v>148</v>
      </c>
      <c r="Z9" s="18">
        <v>193</v>
      </c>
      <c r="AA9" s="17">
        <v>393</v>
      </c>
      <c r="AB9" s="18">
        <v>298</v>
      </c>
      <c r="AC9" s="17">
        <v>194</v>
      </c>
      <c r="AD9" s="18">
        <v>294</v>
      </c>
      <c r="AE9" s="17">
        <v>169</v>
      </c>
      <c r="AF9" s="18">
        <v>267</v>
      </c>
      <c r="AG9" s="17">
        <v>252</v>
      </c>
      <c r="AH9" s="18">
        <v>232</v>
      </c>
      <c r="AI9" s="17">
        <v>103</v>
      </c>
      <c r="AJ9" s="18">
        <v>201</v>
      </c>
      <c r="AK9" s="26">
        <f t="shared" si="0"/>
        <v>3988</v>
      </c>
      <c r="AL9" s="27">
        <f t="shared" si="1"/>
        <v>4689</v>
      </c>
      <c r="AM9" s="28">
        <f t="shared" si="6"/>
        <v>265.86666666666667</v>
      </c>
      <c r="AN9" s="29">
        <f t="shared" si="7"/>
        <v>312.60000000000002</v>
      </c>
      <c r="AO9" s="26">
        <f t="shared" si="2"/>
        <v>592</v>
      </c>
      <c r="AP9" s="27">
        <f t="shared" si="3"/>
        <v>767</v>
      </c>
      <c r="AQ9" s="26">
        <f t="shared" si="4"/>
        <v>134.2683217375648</v>
      </c>
      <c r="AR9" s="27">
        <f t="shared" si="5"/>
        <v>164.97749341450589</v>
      </c>
    </row>
    <row r="10" spans="1:44" ht="12.75" x14ac:dyDescent="0.25">
      <c r="A10" s="9" t="s">
        <v>22</v>
      </c>
      <c r="B10" s="14" t="s">
        <v>65</v>
      </c>
      <c r="C10" s="11" t="s">
        <v>119</v>
      </c>
      <c r="D10" s="14" t="s">
        <v>78</v>
      </c>
      <c r="E10" s="8" t="s">
        <v>64</v>
      </c>
      <c r="F10" s="8" t="s">
        <v>254</v>
      </c>
      <c r="G10" s="17">
        <v>4146</v>
      </c>
      <c r="H10" s="18"/>
      <c r="I10" s="17">
        <v>3670</v>
      </c>
      <c r="J10" s="18"/>
      <c r="K10" s="17">
        <v>3995</v>
      </c>
      <c r="L10" s="18"/>
      <c r="M10" s="17">
        <v>3152</v>
      </c>
      <c r="N10" s="18"/>
      <c r="O10" s="17">
        <v>3861</v>
      </c>
      <c r="P10" s="18"/>
      <c r="Q10" s="17">
        <v>2955</v>
      </c>
      <c r="R10" s="18"/>
      <c r="S10" s="17">
        <v>3206</v>
      </c>
      <c r="T10" s="18"/>
      <c r="U10" s="17">
        <v>3787</v>
      </c>
      <c r="V10" s="18"/>
      <c r="W10" s="17">
        <v>3225</v>
      </c>
      <c r="X10" s="18"/>
      <c r="Y10" s="17">
        <v>3719</v>
      </c>
      <c r="Z10" s="18"/>
      <c r="AA10" s="17">
        <v>3176</v>
      </c>
      <c r="AB10" s="18"/>
      <c r="AC10" s="17">
        <v>2695</v>
      </c>
      <c r="AD10" s="18"/>
      <c r="AE10" s="17">
        <v>2780</v>
      </c>
      <c r="AF10" s="18"/>
      <c r="AG10" s="17">
        <v>3419</v>
      </c>
      <c r="AH10" s="18"/>
      <c r="AI10" s="17">
        <v>4230</v>
      </c>
      <c r="AJ10" s="18">
        <v>0</v>
      </c>
      <c r="AK10" s="26">
        <f t="shared" si="0"/>
        <v>52016</v>
      </c>
      <c r="AL10" s="27">
        <f t="shared" si="1"/>
        <v>0</v>
      </c>
      <c r="AM10" s="28">
        <f t="shared" si="6"/>
        <v>3467.7333333333331</v>
      </c>
      <c r="AN10" s="29">
        <f t="shared" si="7"/>
        <v>0</v>
      </c>
      <c r="AO10" s="26">
        <f t="shared" si="2"/>
        <v>4230</v>
      </c>
      <c r="AP10" s="27">
        <f t="shared" si="3"/>
        <v>0</v>
      </c>
      <c r="AQ10" s="26">
        <f t="shared" si="4"/>
        <v>470.97961267506639</v>
      </c>
      <c r="AR10" s="27">
        <f t="shared" si="5"/>
        <v>0</v>
      </c>
    </row>
    <row r="11" spans="1:44" ht="12.75" x14ac:dyDescent="0.25">
      <c r="A11" s="9" t="s">
        <v>29</v>
      </c>
      <c r="B11" s="13" t="s">
        <v>63</v>
      </c>
      <c r="C11" s="11" t="s">
        <v>119</v>
      </c>
      <c r="D11" s="13" t="s">
        <v>145</v>
      </c>
      <c r="E11" s="7" t="s">
        <v>64</v>
      </c>
      <c r="F11" s="7" t="s">
        <v>255</v>
      </c>
      <c r="G11" s="17">
        <v>1268</v>
      </c>
      <c r="H11" s="18">
        <v>1856</v>
      </c>
      <c r="I11" s="17">
        <v>1468</v>
      </c>
      <c r="J11" s="18">
        <v>1393</v>
      </c>
      <c r="K11" s="17">
        <v>1538</v>
      </c>
      <c r="L11" s="18">
        <v>2533</v>
      </c>
      <c r="M11" s="17">
        <v>1930</v>
      </c>
      <c r="N11" s="18">
        <v>2264</v>
      </c>
      <c r="O11" s="17">
        <v>2215</v>
      </c>
      <c r="P11" s="18">
        <v>1465</v>
      </c>
      <c r="Q11" s="17">
        <v>1131</v>
      </c>
      <c r="R11" s="18">
        <v>1297</v>
      </c>
      <c r="S11" s="17">
        <v>860</v>
      </c>
      <c r="T11" s="18">
        <v>1230</v>
      </c>
      <c r="U11" s="17">
        <v>891</v>
      </c>
      <c r="V11" s="18">
        <v>1696</v>
      </c>
      <c r="W11" s="17">
        <v>1290</v>
      </c>
      <c r="X11" s="18">
        <v>1414</v>
      </c>
      <c r="Y11" s="17">
        <v>1116</v>
      </c>
      <c r="Z11" s="18">
        <v>1141</v>
      </c>
      <c r="AA11" s="17">
        <v>774</v>
      </c>
      <c r="AB11" s="18">
        <v>1644</v>
      </c>
      <c r="AC11" s="17">
        <v>1239</v>
      </c>
      <c r="AD11" s="18">
        <v>1115</v>
      </c>
      <c r="AE11" s="17">
        <v>737</v>
      </c>
      <c r="AF11" s="18">
        <v>1217</v>
      </c>
      <c r="AG11" s="17">
        <v>971</v>
      </c>
      <c r="AH11" s="18">
        <v>1452</v>
      </c>
      <c r="AI11" s="17">
        <v>1105</v>
      </c>
      <c r="AJ11" s="18">
        <v>1146</v>
      </c>
      <c r="AK11" s="26">
        <f t="shared" si="0"/>
        <v>18533</v>
      </c>
      <c r="AL11" s="27">
        <f t="shared" si="1"/>
        <v>22863</v>
      </c>
      <c r="AM11" s="28">
        <f t="shared" si="6"/>
        <v>1235.5333333333333</v>
      </c>
      <c r="AN11" s="29">
        <f t="shared" si="7"/>
        <v>1524.2</v>
      </c>
      <c r="AO11" s="26">
        <f t="shared" si="2"/>
        <v>2215</v>
      </c>
      <c r="AP11" s="27">
        <f t="shared" si="3"/>
        <v>2533</v>
      </c>
      <c r="AQ11" s="26">
        <f t="shared" si="4"/>
        <v>402.05370564418655</v>
      </c>
      <c r="AR11" s="27">
        <f t="shared" si="5"/>
        <v>403.88797126596052</v>
      </c>
    </row>
    <row r="12" spans="1:44" ht="12.75" x14ac:dyDescent="0.25">
      <c r="A12" s="9" t="s">
        <v>8</v>
      </c>
      <c r="B12" s="14" t="s">
        <v>65</v>
      </c>
      <c r="C12" s="11" t="s">
        <v>119</v>
      </c>
      <c r="D12" s="14" t="s">
        <v>145</v>
      </c>
      <c r="E12" s="8" t="s">
        <v>64</v>
      </c>
      <c r="F12" s="7" t="s">
        <v>255</v>
      </c>
      <c r="G12" s="17">
        <v>3324</v>
      </c>
      <c r="H12" s="18"/>
      <c r="I12" s="17">
        <v>2339</v>
      </c>
      <c r="J12" s="18"/>
      <c r="K12" s="17">
        <v>2652</v>
      </c>
      <c r="L12" s="18"/>
      <c r="M12" s="17">
        <v>1246</v>
      </c>
      <c r="N12" s="18"/>
      <c r="O12" s="17">
        <v>676</v>
      </c>
      <c r="P12" s="18"/>
      <c r="Q12" s="17">
        <v>2923</v>
      </c>
      <c r="R12" s="18"/>
      <c r="S12" s="17">
        <v>2841</v>
      </c>
      <c r="T12" s="18"/>
      <c r="U12" s="17">
        <v>3202</v>
      </c>
      <c r="V12" s="18"/>
      <c r="W12" s="17">
        <v>2428</v>
      </c>
      <c r="X12" s="18"/>
      <c r="Y12" s="17">
        <v>2123</v>
      </c>
      <c r="Z12" s="18"/>
      <c r="AA12" s="17">
        <v>2413</v>
      </c>
      <c r="AB12" s="18"/>
      <c r="AC12" s="17">
        <v>1548</v>
      </c>
      <c r="AD12" s="18"/>
      <c r="AE12" s="17">
        <v>1761</v>
      </c>
      <c r="AF12" s="18"/>
      <c r="AG12" s="17">
        <v>1713</v>
      </c>
      <c r="AH12" s="18"/>
      <c r="AI12" s="17">
        <v>1724</v>
      </c>
      <c r="AJ12" s="18">
        <v>0</v>
      </c>
      <c r="AK12" s="26">
        <f t="shared" si="0"/>
        <v>32913</v>
      </c>
      <c r="AL12" s="27">
        <f t="shared" si="1"/>
        <v>0</v>
      </c>
      <c r="AM12" s="28">
        <f t="shared" si="6"/>
        <v>2194.1999999999998</v>
      </c>
      <c r="AN12" s="29">
        <f t="shared" si="7"/>
        <v>0</v>
      </c>
      <c r="AO12" s="26">
        <f t="shared" si="2"/>
        <v>3324</v>
      </c>
      <c r="AP12" s="27">
        <f t="shared" si="3"/>
        <v>0</v>
      </c>
      <c r="AQ12" s="26">
        <f t="shared" si="4"/>
        <v>723.0331665974943</v>
      </c>
      <c r="AR12" s="27">
        <f t="shared" si="5"/>
        <v>0</v>
      </c>
    </row>
    <row r="13" spans="1:44" ht="12.75" x14ac:dyDescent="0.25">
      <c r="A13" s="9" t="s">
        <v>5</v>
      </c>
      <c r="B13" s="14" t="s">
        <v>65</v>
      </c>
      <c r="C13" s="11" t="s">
        <v>119</v>
      </c>
      <c r="D13" s="14" t="s">
        <v>68</v>
      </c>
      <c r="E13" s="8" t="s">
        <v>64</v>
      </c>
      <c r="F13" s="8" t="s">
        <v>68</v>
      </c>
      <c r="G13" s="17">
        <v>868</v>
      </c>
      <c r="H13" s="18"/>
      <c r="I13" s="17">
        <v>854</v>
      </c>
      <c r="J13" s="18"/>
      <c r="K13" s="17">
        <v>1791</v>
      </c>
      <c r="L13" s="18"/>
      <c r="M13" s="17">
        <v>1746</v>
      </c>
      <c r="N13" s="18"/>
      <c r="O13" s="17">
        <v>1548</v>
      </c>
      <c r="P13" s="18"/>
      <c r="Q13" s="17">
        <v>943</v>
      </c>
      <c r="R13" s="18"/>
      <c r="S13" s="17">
        <v>877</v>
      </c>
      <c r="T13" s="18"/>
      <c r="U13" s="17">
        <v>1000</v>
      </c>
      <c r="V13" s="18"/>
      <c r="W13" s="17">
        <v>1074</v>
      </c>
      <c r="X13" s="18"/>
      <c r="Y13" s="17">
        <v>1384</v>
      </c>
      <c r="Z13" s="18"/>
      <c r="AA13" s="17">
        <v>888</v>
      </c>
      <c r="AB13" s="18"/>
      <c r="AC13" s="17">
        <v>903</v>
      </c>
      <c r="AD13" s="18"/>
      <c r="AE13" s="17">
        <v>985</v>
      </c>
      <c r="AF13" s="18"/>
      <c r="AG13" s="17">
        <v>1127</v>
      </c>
      <c r="AH13" s="18"/>
      <c r="AI13" s="17">
        <v>1053</v>
      </c>
      <c r="AJ13" s="18">
        <v>0</v>
      </c>
      <c r="AK13" s="26">
        <f t="shared" si="0"/>
        <v>17041</v>
      </c>
      <c r="AL13" s="27">
        <f t="shared" si="1"/>
        <v>0</v>
      </c>
      <c r="AM13" s="28">
        <f t="shared" si="6"/>
        <v>1136.0666666666666</v>
      </c>
      <c r="AN13" s="29">
        <f t="shared" si="7"/>
        <v>0</v>
      </c>
      <c r="AO13" s="26">
        <f t="shared" si="2"/>
        <v>1791</v>
      </c>
      <c r="AP13" s="27">
        <f t="shared" si="3"/>
        <v>0</v>
      </c>
      <c r="AQ13" s="26">
        <f t="shared" si="4"/>
        <v>311.55041682241773</v>
      </c>
      <c r="AR13" s="27">
        <f t="shared" si="5"/>
        <v>0</v>
      </c>
    </row>
    <row r="14" spans="1:44" ht="12.75" x14ac:dyDescent="0.25">
      <c r="A14" s="9" t="s">
        <v>2</v>
      </c>
      <c r="B14" s="13" t="s">
        <v>65</v>
      </c>
      <c r="C14" s="11" t="s">
        <v>116</v>
      </c>
      <c r="D14" s="13" t="s">
        <v>152</v>
      </c>
      <c r="E14" s="7" t="s">
        <v>64</v>
      </c>
      <c r="F14" s="7" t="s">
        <v>191</v>
      </c>
      <c r="G14" s="17">
        <v>1052</v>
      </c>
      <c r="H14" s="18"/>
      <c r="I14" s="17">
        <v>919</v>
      </c>
      <c r="J14" s="18"/>
      <c r="K14" s="17">
        <v>1151</v>
      </c>
      <c r="L14" s="18"/>
      <c r="M14" s="17">
        <v>1667</v>
      </c>
      <c r="N14" s="18"/>
      <c r="O14" s="17">
        <v>1387</v>
      </c>
      <c r="P14" s="18"/>
      <c r="Q14" s="17">
        <v>1390</v>
      </c>
      <c r="R14" s="18"/>
      <c r="S14" s="17">
        <v>1009</v>
      </c>
      <c r="T14" s="18"/>
      <c r="U14" s="17">
        <v>1519</v>
      </c>
      <c r="V14" s="18"/>
      <c r="W14" s="17">
        <v>1429</v>
      </c>
      <c r="X14" s="18"/>
      <c r="Y14" s="17">
        <v>1293</v>
      </c>
      <c r="Z14" s="18"/>
      <c r="AA14" s="17">
        <v>1349</v>
      </c>
      <c r="AB14" s="18"/>
      <c r="AC14" s="17">
        <v>2123</v>
      </c>
      <c r="AD14" s="18"/>
      <c r="AE14" s="17">
        <v>1233</v>
      </c>
      <c r="AF14" s="18"/>
      <c r="AG14" s="17">
        <v>2340</v>
      </c>
      <c r="AH14" s="18"/>
      <c r="AI14" s="17">
        <v>2148</v>
      </c>
      <c r="AJ14" s="18">
        <v>0</v>
      </c>
      <c r="AK14" s="26">
        <f t="shared" si="0"/>
        <v>22009</v>
      </c>
      <c r="AL14" s="27">
        <f t="shared" si="1"/>
        <v>0</v>
      </c>
      <c r="AM14" s="28">
        <f t="shared" si="6"/>
        <v>1467.2666666666667</v>
      </c>
      <c r="AN14" s="29">
        <f t="shared" si="7"/>
        <v>0</v>
      </c>
      <c r="AO14" s="26">
        <f t="shared" si="2"/>
        <v>2340</v>
      </c>
      <c r="AP14" s="27">
        <f t="shared" si="3"/>
        <v>0</v>
      </c>
      <c r="AQ14" s="26">
        <f t="shared" si="4"/>
        <v>415.83706210753053</v>
      </c>
      <c r="AR14" s="27">
        <f t="shared" si="5"/>
        <v>0</v>
      </c>
    </row>
    <row r="15" spans="1:44" ht="12.75" x14ac:dyDescent="0.25">
      <c r="A15" s="9" t="s">
        <v>45</v>
      </c>
      <c r="B15" s="14" t="s">
        <v>63</v>
      </c>
      <c r="C15" s="11" t="s">
        <v>116</v>
      </c>
      <c r="D15" s="14" t="s">
        <v>151</v>
      </c>
      <c r="E15" s="8" t="s">
        <v>108</v>
      </c>
      <c r="F15" s="8" t="s">
        <v>191</v>
      </c>
      <c r="G15" s="17">
        <v>49</v>
      </c>
      <c r="H15" s="18">
        <v>33</v>
      </c>
      <c r="I15" s="17">
        <v>44</v>
      </c>
      <c r="J15" s="18">
        <v>135</v>
      </c>
      <c r="K15" s="17">
        <v>56</v>
      </c>
      <c r="L15" s="18">
        <v>231</v>
      </c>
      <c r="M15" s="17">
        <v>136</v>
      </c>
      <c r="N15" s="18">
        <v>95</v>
      </c>
      <c r="O15" s="17">
        <v>59</v>
      </c>
      <c r="P15" s="18">
        <v>140</v>
      </c>
      <c r="Q15" s="17">
        <v>102</v>
      </c>
      <c r="R15" s="18">
        <v>89</v>
      </c>
      <c r="S15" s="17">
        <v>15</v>
      </c>
      <c r="T15" s="18">
        <v>91</v>
      </c>
      <c r="U15" s="17">
        <v>33</v>
      </c>
      <c r="V15" s="18">
        <v>276</v>
      </c>
      <c r="W15" s="17">
        <v>21</v>
      </c>
      <c r="X15" s="18">
        <v>24</v>
      </c>
      <c r="Y15" s="17"/>
      <c r="Z15" s="18">
        <v>1</v>
      </c>
      <c r="AA15" s="17"/>
      <c r="AB15" s="18"/>
      <c r="AC15" s="17"/>
      <c r="AD15" s="18"/>
      <c r="AE15" s="17">
        <v>53</v>
      </c>
      <c r="AF15" s="18">
        <v>211</v>
      </c>
      <c r="AG15" s="17">
        <v>320</v>
      </c>
      <c r="AH15" s="18">
        <v>858</v>
      </c>
      <c r="AI15" s="17">
        <v>187</v>
      </c>
      <c r="AJ15" s="18">
        <v>1152</v>
      </c>
      <c r="AK15" s="26">
        <f t="shared" si="0"/>
        <v>1075</v>
      </c>
      <c r="AL15" s="27">
        <f t="shared" si="1"/>
        <v>3336</v>
      </c>
      <c r="AM15" s="28">
        <f t="shared" si="6"/>
        <v>71.666666666666671</v>
      </c>
      <c r="AN15" s="29">
        <f t="shared" si="7"/>
        <v>222.4</v>
      </c>
      <c r="AO15" s="26">
        <f t="shared" si="2"/>
        <v>320</v>
      </c>
      <c r="AP15" s="27">
        <f t="shared" si="3"/>
        <v>1152</v>
      </c>
      <c r="AQ15" s="26">
        <f t="shared" si="4"/>
        <v>84.402269255959908</v>
      </c>
      <c r="AR15" s="27">
        <f t="shared" si="5"/>
        <v>333.50989801054772</v>
      </c>
    </row>
    <row r="16" spans="1:44" ht="12.75" x14ac:dyDescent="0.25">
      <c r="A16" s="9" t="s">
        <v>51</v>
      </c>
      <c r="B16" s="14" t="s">
        <v>63</v>
      </c>
      <c r="C16" s="11" t="s">
        <v>116</v>
      </c>
      <c r="D16" s="14" t="s">
        <v>96</v>
      </c>
      <c r="E16" s="8" t="s">
        <v>108</v>
      </c>
      <c r="F16" s="8" t="s">
        <v>192</v>
      </c>
      <c r="G16" s="17">
        <v>345</v>
      </c>
      <c r="H16" s="18">
        <v>718</v>
      </c>
      <c r="I16" s="17">
        <v>262</v>
      </c>
      <c r="J16" s="18">
        <v>610</v>
      </c>
      <c r="K16" s="17">
        <v>871</v>
      </c>
      <c r="L16" s="18">
        <v>1396</v>
      </c>
      <c r="M16" s="17">
        <v>783</v>
      </c>
      <c r="N16" s="18">
        <v>1298</v>
      </c>
      <c r="O16" s="17">
        <v>995</v>
      </c>
      <c r="P16" s="18">
        <v>1972</v>
      </c>
      <c r="Q16" s="17">
        <v>1427</v>
      </c>
      <c r="R16" s="18">
        <v>1534</v>
      </c>
      <c r="S16" s="17">
        <v>949</v>
      </c>
      <c r="T16" s="18">
        <v>1020</v>
      </c>
      <c r="U16" s="17">
        <v>1088</v>
      </c>
      <c r="V16" s="18">
        <v>1952</v>
      </c>
      <c r="W16" s="17">
        <v>1356</v>
      </c>
      <c r="X16" s="18">
        <v>1874</v>
      </c>
      <c r="Y16" s="17">
        <v>931</v>
      </c>
      <c r="Z16" s="18">
        <v>1610</v>
      </c>
      <c r="AA16" s="17">
        <v>1782</v>
      </c>
      <c r="AB16" s="18">
        <v>2941</v>
      </c>
      <c r="AC16" s="17">
        <v>1068</v>
      </c>
      <c r="AD16" s="18">
        <v>3076</v>
      </c>
      <c r="AE16" s="17">
        <v>794</v>
      </c>
      <c r="AF16" s="18">
        <v>2790</v>
      </c>
      <c r="AG16" s="17">
        <v>1623</v>
      </c>
      <c r="AH16" s="18">
        <v>2249</v>
      </c>
      <c r="AI16" s="17">
        <v>1759</v>
      </c>
      <c r="AJ16" s="18">
        <v>3570</v>
      </c>
      <c r="AK16" s="26">
        <f t="shared" si="0"/>
        <v>16033</v>
      </c>
      <c r="AL16" s="27">
        <f t="shared" si="1"/>
        <v>28610</v>
      </c>
      <c r="AM16" s="28">
        <f t="shared" si="6"/>
        <v>1068.8666666666666</v>
      </c>
      <c r="AN16" s="29">
        <f t="shared" si="7"/>
        <v>1907.3333333333333</v>
      </c>
      <c r="AO16" s="26">
        <f t="shared" si="2"/>
        <v>1782</v>
      </c>
      <c r="AP16" s="27">
        <f t="shared" si="3"/>
        <v>3570</v>
      </c>
      <c r="AQ16" s="26">
        <f t="shared" si="4"/>
        <v>440.70018026872748</v>
      </c>
      <c r="AR16" s="27">
        <f t="shared" si="5"/>
        <v>850.38482791942818</v>
      </c>
    </row>
    <row r="17" spans="1:44" ht="12.75" x14ac:dyDescent="0.25">
      <c r="A17" s="9" t="s">
        <v>10</v>
      </c>
      <c r="B17" s="14" t="s">
        <v>65</v>
      </c>
      <c r="C17" s="11" t="s">
        <v>116</v>
      </c>
      <c r="D17" s="14" t="s">
        <v>104</v>
      </c>
      <c r="E17" s="8" t="s">
        <v>108</v>
      </c>
      <c r="F17" s="8" t="s">
        <v>192</v>
      </c>
      <c r="G17" s="17">
        <v>22</v>
      </c>
      <c r="H17" s="18"/>
      <c r="I17" s="17">
        <v>1</v>
      </c>
      <c r="J17" s="18"/>
      <c r="K17" s="17"/>
      <c r="L17" s="18"/>
      <c r="M17" s="17">
        <v>97</v>
      </c>
      <c r="N17" s="18"/>
      <c r="O17" s="17">
        <v>107</v>
      </c>
      <c r="P17" s="18"/>
      <c r="Q17" s="17">
        <v>15</v>
      </c>
      <c r="R17" s="18"/>
      <c r="S17" s="17">
        <v>86</v>
      </c>
      <c r="T17" s="18"/>
      <c r="U17" s="17">
        <v>266</v>
      </c>
      <c r="V17" s="18"/>
      <c r="W17" s="17">
        <v>54</v>
      </c>
      <c r="X17" s="18"/>
      <c r="Y17" s="17">
        <v>80</v>
      </c>
      <c r="Z17" s="18"/>
      <c r="AA17" s="17">
        <v>72</v>
      </c>
      <c r="AB17" s="18"/>
      <c r="AC17" s="17">
        <v>24</v>
      </c>
      <c r="AD17" s="18"/>
      <c r="AE17" s="17">
        <v>212</v>
      </c>
      <c r="AF17" s="18"/>
      <c r="AG17" s="17">
        <v>325</v>
      </c>
      <c r="AH17" s="18"/>
      <c r="AI17" s="17">
        <v>47</v>
      </c>
      <c r="AJ17" s="18">
        <v>0</v>
      </c>
      <c r="AK17" s="26">
        <f t="shared" si="0"/>
        <v>1408</v>
      </c>
      <c r="AL17" s="27">
        <f t="shared" si="1"/>
        <v>0</v>
      </c>
      <c r="AM17" s="28">
        <f t="shared" si="6"/>
        <v>93.86666666666666</v>
      </c>
      <c r="AN17" s="29">
        <f t="shared" si="7"/>
        <v>0</v>
      </c>
      <c r="AO17" s="26">
        <f t="shared" si="2"/>
        <v>325</v>
      </c>
      <c r="AP17" s="27">
        <f t="shared" si="3"/>
        <v>0</v>
      </c>
      <c r="AQ17" s="26">
        <f t="shared" si="4"/>
        <v>94.856820137144652</v>
      </c>
      <c r="AR17" s="27">
        <f t="shared" si="5"/>
        <v>0</v>
      </c>
    </row>
    <row r="18" spans="1:44" ht="12.75" x14ac:dyDescent="0.25">
      <c r="A18" s="9" t="s">
        <v>21</v>
      </c>
      <c r="B18" s="13" t="s">
        <v>65</v>
      </c>
      <c r="C18" s="11" t="s">
        <v>116</v>
      </c>
      <c r="D18" s="13" t="s">
        <v>77</v>
      </c>
      <c r="E18" s="7" t="s">
        <v>108</v>
      </c>
      <c r="F18" s="7" t="s">
        <v>202</v>
      </c>
      <c r="G18" s="17">
        <v>1161</v>
      </c>
      <c r="H18" s="18"/>
      <c r="I18" s="17">
        <v>990</v>
      </c>
      <c r="J18" s="18"/>
      <c r="K18" s="17">
        <v>1493</v>
      </c>
      <c r="L18" s="18"/>
      <c r="M18" s="17">
        <v>1832</v>
      </c>
      <c r="N18" s="18"/>
      <c r="O18" s="17">
        <v>1810</v>
      </c>
      <c r="P18" s="18"/>
      <c r="Q18" s="17">
        <v>1585</v>
      </c>
      <c r="R18" s="18"/>
      <c r="S18" s="17">
        <v>1199</v>
      </c>
      <c r="T18" s="18"/>
      <c r="U18" s="17">
        <v>1889</v>
      </c>
      <c r="V18" s="18"/>
      <c r="W18" s="17">
        <v>983</v>
      </c>
      <c r="X18" s="18"/>
      <c r="Y18" s="17">
        <v>1152</v>
      </c>
      <c r="Z18" s="18"/>
      <c r="AA18" s="17">
        <v>2294</v>
      </c>
      <c r="AB18" s="18"/>
      <c r="AC18" s="17">
        <v>1103</v>
      </c>
      <c r="AD18" s="18"/>
      <c r="AE18" s="17">
        <v>1729</v>
      </c>
      <c r="AF18" s="18"/>
      <c r="AG18" s="17">
        <v>1614</v>
      </c>
      <c r="AH18" s="18"/>
      <c r="AI18" s="17">
        <v>2729</v>
      </c>
      <c r="AJ18" s="18">
        <v>0</v>
      </c>
      <c r="AK18" s="26">
        <f t="shared" si="0"/>
        <v>23563</v>
      </c>
      <c r="AL18" s="27">
        <f t="shared" si="1"/>
        <v>0</v>
      </c>
      <c r="AM18" s="28">
        <f t="shared" si="6"/>
        <v>1570.8666666666666</v>
      </c>
      <c r="AN18" s="29">
        <f t="shared" si="7"/>
        <v>0</v>
      </c>
      <c r="AO18" s="26">
        <f t="shared" si="2"/>
        <v>2729</v>
      </c>
      <c r="AP18" s="27">
        <f t="shared" si="3"/>
        <v>0</v>
      </c>
      <c r="AQ18" s="26">
        <f t="shared" si="4"/>
        <v>483.5649376132319</v>
      </c>
      <c r="AR18" s="27">
        <f t="shared" si="5"/>
        <v>0</v>
      </c>
    </row>
    <row r="19" spans="1:44" ht="12.75" x14ac:dyDescent="0.25">
      <c r="A19" s="39" t="s">
        <v>52</v>
      </c>
      <c r="B19" s="203" t="s">
        <v>63</v>
      </c>
      <c r="C19" s="205" t="s">
        <v>116</v>
      </c>
      <c r="D19" s="203" t="s">
        <v>97</v>
      </c>
      <c r="E19" s="203" t="s">
        <v>64</v>
      </c>
      <c r="F19" s="38" t="s">
        <v>130</v>
      </c>
      <c r="G19" s="17"/>
      <c r="H19" s="18"/>
      <c r="I19" s="17"/>
      <c r="J19" s="18"/>
      <c r="K19" s="17"/>
      <c r="L19" s="18"/>
      <c r="M19" s="17"/>
      <c r="N19" s="18"/>
      <c r="O19" s="17"/>
      <c r="P19" s="18"/>
      <c r="Q19" s="17"/>
      <c r="R19" s="18"/>
      <c r="S19" s="17"/>
      <c r="T19" s="18"/>
      <c r="U19" s="17"/>
      <c r="V19" s="18"/>
      <c r="W19" s="17"/>
      <c r="X19" s="18"/>
      <c r="Y19" s="17"/>
      <c r="Z19" s="18"/>
      <c r="AA19" s="17"/>
      <c r="AB19" s="18"/>
      <c r="AC19" s="17"/>
      <c r="AD19" s="18"/>
      <c r="AE19" s="17"/>
      <c r="AF19" s="18"/>
      <c r="AG19" s="17"/>
      <c r="AH19" s="18"/>
      <c r="AI19" s="17">
        <v>0</v>
      </c>
      <c r="AJ19" s="18">
        <v>0</v>
      </c>
      <c r="AK19" s="26">
        <f t="shared" si="0"/>
        <v>0</v>
      </c>
      <c r="AL19" s="27">
        <f t="shared" si="1"/>
        <v>0</v>
      </c>
      <c r="AM19" s="28">
        <f t="shared" si="6"/>
        <v>0</v>
      </c>
      <c r="AN19" s="29">
        <f t="shared" si="7"/>
        <v>0</v>
      </c>
      <c r="AO19" s="26">
        <f t="shared" si="2"/>
        <v>0</v>
      </c>
      <c r="AP19" s="27">
        <f t="shared" si="3"/>
        <v>0</v>
      </c>
      <c r="AQ19" s="26">
        <f t="shared" si="4"/>
        <v>0</v>
      </c>
      <c r="AR19" s="27">
        <f t="shared" si="5"/>
        <v>0</v>
      </c>
    </row>
    <row r="20" spans="1:44" ht="12.75" customHeight="1" x14ac:dyDescent="0.25">
      <c r="A20" s="9" t="s">
        <v>43</v>
      </c>
      <c r="B20" s="204"/>
      <c r="C20" s="206"/>
      <c r="D20" s="204"/>
      <c r="E20" s="204"/>
      <c r="F20" s="8" t="s">
        <v>192</v>
      </c>
      <c r="G20" s="17">
        <v>622</v>
      </c>
      <c r="H20" s="18">
        <v>913</v>
      </c>
      <c r="I20" s="17">
        <v>15073</v>
      </c>
      <c r="J20" s="18">
        <v>11786</v>
      </c>
      <c r="K20" s="17">
        <v>147</v>
      </c>
      <c r="L20" s="18">
        <v>529</v>
      </c>
      <c r="M20" s="17">
        <v>266</v>
      </c>
      <c r="N20" s="18">
        <v>773</v>
      </c>
      <c r="O20" s="17">
        <v>340</v>
      </c>
      <c r="P20" s="18">
        <v>1269</v>
      </c>
      <c r="Q20" s="17">
        <v>303</v>
      </c>
      <c r="R20" s="18">
        <v>950</v>
      </c>
      <c r="S20" s="17">
        <v>493</v>
      </c>
      <c r="T20" s="18">
        <v>789</v>
      </c>
      <c r="U20" s="17">
        <v>591</v>
      </c>
      <c r="V20" s="18">
        <v>1249</v>
      </c>
      <c r="W20" s="17">
        <v>160</v>
      </c>
      <c r="X20" s="18">
        <v>966</v>
      </c>
      <c r="Y20" s="17">
        <v>145</v>
      </c>
      <c r="Z20" s="18">
        <v>764</v>
      </c>
      <c r="AA20" s="17">
        <v>306</v>
      </c>
      <c r="AB20" s="18">
        <v>893</v>
      </c>
      <c r="AC20" s="17">
        <v>303</v>
      </c>
      <c r="AD20" s="18">
        <v>898</v>
      </c>
      <c r="AE20" s="17">
        <v>141</v>
      </c>
      <c r="AF20" s="18">
        <v>523</v>
      </c>
      <c r="AG20" s="17">
        <v>489</v>
      </c>
      <c r="AH20" s="18">
        <v>558</v>
      </c>
      <c r="AI20" s="17">
        <v>202</v>
      </c>
      <c r="AJ20" s="18">
        <v>580</v>
      </c>
      <c r="AK20" s="26">
        <f t="shared" si="0"/>
        <v>19581</v>
      </c>
      <c r="AL20" s="27">
        <f t="shared" si="1"/>
        <v>23440</v>
      </c>
      <c r="AM20" s="28">
        <f t="shared" si="6"/>
        <v>1305.4000000000001</v>
      </c>
      <c r="AN20" s="29">
        <f t="shared" si="7"/>
        <v>1562.6666666666667</v>
      </c>
      <c r="AO20" s="26">
        <f t="shared" si="2"/>
        <v>15073</v>
      </c>
      <c r="AP20" s="27">
        <f t="shared" si="3"/>
        <v>11786</v>
      </c>
      <c r="AQ20" s="26">
        <f t="shared" si="4"/>
        <v>3682.7992578110111</v>
      </c>
      <c r="AR20" s="27">
        <f t="shared" si="5"/>
        <v>2741.4012151128522</v>
      </c>
    </row>
    <row r="21" spans="1:44" ht="12.75" x14ac:dyDescent="0.25">
      <c r="A21" s="9" t="s">
        <v>3</v>
      </c>
      <c r="B21" s="14" t="s">
        <v>65</v>
      </c>
      <c r="C21" s="11" t="s">
        <v>117</v>
      </c>
      <c r="D21" s="14" t="s">
        <v>150</v>
      </c>
      <c r="E21" s="8" t="s">
        <v>107</v>
      </c>
      <c r="F21" s="8" t="s">
        <v>191</v>
      </c>
      <c r="G21" s="17">
        <v>641</v>
      </c>
      <c r="H21" s="18"/>
      <c r="I21" s="17">
        <v>1109</v>
      </c>
      <c r="J21" s="18"/>
      <c r="K21" s="17">
        <v>1134</v>
      </c>
      <c r="L21" s="18"/>
      <c r="M21" s="17">
        <v>888</v>
      </c>
      <c r="N21" s="18"/>
      <c r="O21" s="17">
        <v>926</v>
      </c>
      <c r="P21" s="18"/>
      <c r="Q21" s="17">
        <v>709</v>
      </c>
      <c r="R21" s="18"/>
      <c r="S21" s="17">
        <v>545</v>
      </c>
      <c r="T21" s="18"/>
      <c r="U21" s="17">
        <v>1060</v>
      </c>
      <c r="V21" s="18"/>
      <c r="W21" s="17">
        <v>1593</v>
      </c>
      <c r="X21" s="18"/>
      <c r="Y21" s="17">
        <v>1245</v>
      </c>
      <c r="Z21" s="18"/>
      <c r="AA21" s="17">
        <v>776</v>
      </c>
      <c r="AB21" s="18"/>
      <c r="AC21" s="17">
        <v>918</v>
      </c>
      <c r="AD21" s="18"/>
      <c r="AE21" s="17">
        <v>980</v>
      </c>
      <c r="AF21" s="18"/>
      <c r="AG21" s="17">
        <v>488</v>
      </c>
      <c r="AH21" s="18"/>
      <c r="AI21" s="17">
        <v>795</v>
      </c>
      <c r="AJ21" s="18">
        <v>0</v>
      </c>
      <c r="AK21" s="26">
        <f t="shared" si="0"/>
        <v>13807</v>
      </c>
      <c r="AL21" s="27">
        <f t="shared" si="1"/>
        <v>0</v>
      </c>
      <c r="AM21" s="28">
        <f t="shared" si="6"/>
        <v>920.4666666666667</v>
      </c>
      <c r="AN21" s="29">
        <f t="shared" si="7"/>
        <v>0</v>
      </c>
      <c r="AO21" s="26">
        <f t="shared" si="2"/>
        <v>1593</v>
      </c>
      <c r="AP21" s="27">
        <f t="shared" si="3"/>
        <v>0</v>
      </c>
      <c r="AQ21" s="26">
        <f t="shared" si="4"/>
        <v>276.92402487966905</v>
      </c>
      <c r="AR21" s="27">
        <f t="shared" si="5"/>
        <v>0</v>
      </c>
    </row>
    <row r="22" spans="1:44" ht="12.75" x14ac:dyDescent="0.25">
      <c r="A22" s="9" t="s">
        <v>30</v>
      </c>
      <c r="B22" s="14" t="s">
        <v>63</v>
      </c>
      <c r="C22" s="11" t="s">
        <v>117</v>
      </c>
      <c r="D22" s="14" t="s">
        <v>149</v>
      </c>
      <c r="E22" s="8" t="s">
        <v>107</v>
      </c>
      <c r="F22" s="8" t="s">
        <v>191</v>
      </c>
      <c r="G22" s="17">
        <v>189</v>
      </c>
      <c r="H22" s="18">
        <v>244</v>
      </c>
      <c r="I22" s="17">
        <v>343</v>
      </c>
      <c r="J22" s="18">
        <v>204</v>
      </c>
      <c r="K22" s="17">
        <v>238</v>
      </c>
      <c r="L22" s="18">
        <v>548</v>
      </c>
      <c r="M22" s="17">
        <v>506</v>
      </c>
      <c r="N22" s="18">
        <v>830</v>
      </c>
      <c r="O22" s="17">
        <v>625</v>
      </c>
      <c r="P22" s="18">
        <v>1363</v>
      </c>
      <c r="Q22" s="17">
        <v>486</v>
      </c>
      <c r="R22" s="18">
        <v>612</v>
      </c>
      <c r="S22" s="17">
        <v>648</v>
      </c>
      <c r="T22" s="18">
        <v>1125</v>
      </c>
      <c r="U22" s="17">
        <v>740</v>
      </c>
      <c r="V22" s="18">
        <v>1507</v>
      </c>
      <c r="W22" s="17">
        <v>1778</v>
      </c>
      <c r="X22" s="18">
        <v>1053</v>
      </c>
      <c r="Y22" s="17">
        <v>517</v>
      </c>
      <c r="Z22" s="18">
        <v>606</v>
      </c>
      <c r="AA22" s="17">
        <v>1265</v>
      </c>
      <c r="AB22" s="18">
        <v>1671</v>
      </c>
      <c r="AC22" s="17">
        <v>471</v>
      </c>
      <c r="AD22" s="18">
        <v>668</v>
      </c>
      <c r="AE22" s="17">
        <v>490</v>
      </c>
      <c r="AF22" s="18">
        <v>1068</v>
      </c>
      <c r="AG22" s="17">
        <v>327</v>
      </c>
      <c r="AH22" s="18">
        <v>599</v>
      </c>
      <c r="AI22" s="17">
        <v>470</v>
      </c>
      <c r="AJ22" s="18">
        <v>795</v>
      </c>
      <c r="AK22" s="26">
        <f t="shared" si="0"/>
        <v>9093</v>
      </c>
      <c r="AL22" s="27">
        <f t="shared" si="1"/>
        <v>12893</v>
      </c>
      <c r="AM22" s="28">
        <f t="shared" si="6"/>
        <v>606.20000000000005</v>
      </c>
      <c r="AN22" s="29">
        <f t="shared" si="7"/>
        <v>859.5333333333333</v>
      </c>
      <c r="AO22" s="26">
        <f t="shared" si="2"/>
        <v>1778</v>
      </c>
      <c r="AP22" s="27">
        <f t="shared" si="3"/>
        <v>1671</v>
      </c>
      <c r="AQ22" s="26">
        <f t="shared" si="4"/>
        <v>397.22087894100764</v>
      </c>
      <c r="AR22" s="27">
        <f t="shared" si="5"/>
        <v>418.19769912752452</v>
      </c>
    </row>
    <row r="23" spans="1:44" ht="12.75" x14ac:dyDescent="0.25">
      <c r="A23" s="9" t="s">
        <v>15</v>
      </c>
      <c r="B23" s="13" t="s">
        <v>65</v>
      </c>
      <c r="C23" s="11" t="s">
        <v>117</v>
      </c>
      <c r="D23" s="13" t="s">
        <v>73</v>
      </c>
      <c r="E23" s="7" t="s">
        <v>107</v>
      </c>
      <c r="F23" s="7" t="s">
        <v>192</v>
      </c>
      <c r="G23" s="17">
        <v>19</v>
      </c>
      <c r="H23" s="18"/>
      <c r="I23" s="17"/>
      <c r="J23" s="18"/>
      <c r="K23" s="17"/>
      <c r="L23" s="18"/>
      <c r="M23" s="17"/>
      <c r="N23" s="18"/>
      <c r="O23" s="17"/>
      <c r="P23" s="18"/>
      <c r="Q23" s="17">
        <v>2</v>
      </c>
      <c r="R23" s="18"/>
      <c r="S23" s="17"/>
      <c r="T23" s="18"/>
      <c r="U23" s="17"/>
      <c r="V23" s="18"/>
      <c r="W23" s="17"/>
      <c r="X23" s="18"/>
      <c r="Y23" s="17"/>
      <c r="Z23" s="18"/>
      <c r="AA23" s="17"/>
      <c r="AB23" s="18"/>
      <c r="AC23" s="17"/>
      <c r="AD23" s="18"/>
      <c r="AE23" s="17"/>
      <c r="AF23" s="18"/>
      <c r="AG23" s="17"/>
      <c r="AH23" s="18"/>
      <c r="AI23" s="17">
        <v>0</v>
      </c>
      <c r="AJ23" s="18">
        <v>0</v>
      </c>
      <c r="AK23" s="26">
        <f t="shared" si="0"/>
        <v>21</v>
      </c>
      <c r="AL23" s="27">
        <f t="shared" si="1"/>
        <v>0</v>
      </c>
      <c r="AM23" s="28">
        <f t="shared" si="6"/>
        <v>1.4</v>
      </c>
      <c r="AN23" s="29">
        <f t="shared" si="7"/>
        <v>0</v>
      </c>
      <c r="AO23" s="26">
        <f t="shared" si="2"/>
        <v>19</v>
      </c>
      <c r="AP23" s="27">
        <f t="shared" si="3"/>
        <v>0</v>
      </c>
      <c r="AQ23" s="26">
        <f t="shared" si="4"/>
        <v>8.5244745683629475</v>
      </c>
      <c r="AR23" s="27">
        <f t="shared" si="5"/>
        <v>0</v>
      </c>
    </row>
    <row r="24" spans="1:44" ht="12.75" x14ac:dyDescent="0.25">
      <c r="A24" s="9" t="s">
        <v>34</v>
      </c>
      <c r="B24" s="14" t="s">
        <v>63</v>
      </c>
      <c r="C24" s="11" t="s">
        <v>117</v>
      </c>
      <c r="D24" s="14" t="s">
        <v>105</v>
      </c>
      <c r="E24" s="8" t="s">
        <v>107</v>
      </c>
      <c r="F24" s="8" t="s">
        <v>192</v>
      </c>
      <c r="G24" s="17">
        <v>964</v>
      </c>
      <c r="H24" s="18">
        <v>1107</v>
      </c>
      <c r="I24" s="17">
        <v>1499</v>
      </c>
      <c r="J24" s="18">
        <v>2402</v>
      </c>
      <c r="K24" s="17">
        <v>2651</v>
      </c>
      <c r="L24" s="18">
        <v>2805</v>
      </c>
      <c r="M24" s="17">
        <v>752</v>
      </c>
      <c r="N24" s="18">
        <v>1600</v>
      </c>
      <c r="O24" s="17">
        <v>1107</v>
      </c>
      <c r="P24" s="18">
        <v>1622</v>
      </c>
      <c r="Q24" s="17">
        <v>861</v>
      </c>
      <c r="R24" s="18">
        <v>1301</v>
      </c>
      <c r="S24" s="17">
        <v>1048</v>
      </c>
      <c r="T24" s="18">
        <v>1902</v>
      </c>
      <c r="U24" s="17">
        <v>1168</v>
      </c>
      <c r="V24" s="18">
        <v>2692</v>
      </c>
      <c r="W24" s="17">
        <v>1447</v>
      </c>
      <c r="X24" s="18">
        <v>1439</v>
      </c>
      <c r="Y24" s="17">
        <v>1492</v>
      </c>
      <c r="Z24" s="18">
        <v>2118</v>
      </c>
      <c r="AA24" s="17">
        <v>1018</v>
      </c>
      <c r="AB24" s="18">
        <v>1567</v>
      </c>
      <c r="AC24" s="17">
        <v>546</v>
      </c>
      <c r="AD24" s="18">
        <v>1162</v>
      </c>
      <c r="AE24" s="17">
        <v>1394</v>
      </c>
      <c r="AF24" s="18">
        <v>2710</v>
      </c>
      <c r="AG24" s="17">
        <v>1127</v>
      </c>
      <c r="AH24" s="18">
        <v>1109</v>
      </c>
      <c r="AI24" s="17">
        <v>1404</v>
      </c>
      <c r="AJ24" s="18">
        <v>1838</v>
      </c>
      <c r="AK24" s="26">
        <f t="shared" si="0"/>
        <v>18478</v>
      </c>
      <c r="AL24" s="27">
        <f t="shared" si="1"/>
        <v>27374</v>
      </c>
      <c r="AM24" s="28">
        <f t="shared" si="6"/>
        <v>1231.8666666666666</v>
      </c>
      <c r="AN24" s="29">
        <f t="shared" si="7"/>
        <v>1824.9333333333334</v>
      </c>
      <c r="AO24" s="26">
        <f t="shared" si="2"/>
        <v>2651</v>
      </c>
      <c r="AP24" s="27">
        <f t="shared" si="3"/>
        <v>2805</v>
      </c>
      <c r="AQ24" s="26">
        <f t="shared" si="4"/>
        <v>467.28733011808583</v>
      </c>
      <c r="AR24" s="27">
        <f t="shared" si="5"/>
        <v>575.61033887711073</v>
      </c>
    </row>
    <row r="25" spans="1:44" ht="12.75" x14ac:dyDescent="0.25">
      <c r="A25" s="9" t="s">
        <v>24</v>
      </c>
      <c r="B25" s="14" t="s">
        <v>65</v>
      </c>
      <c r="C25" s="11" t="s">
        <v>117</v>
      </c>
      <c r="D25" s="14" t="s">
        <v>79</v>
      </c>
      <c r="E25" s="8" t="s">
        <v>107</v>
      </c>
      <c r="F25" s="8" t="s">
        <v>203</v>
      </c>
      <c r="G25" s="17">
        <v>597</v>
      </c>
      <c r="H25" s="18"/>
      <c r="I25" s="17">
        <v>697</v>
      </c>
      <c r="J25" s="18"/>
      <c r="K25" s="17">
        <v>881</v>
      </c>
      <c r="L25" s="18"/>
      <c r="M25" s="17">
        <v>729</v>
      </c>
      <c r="N25" s="18"/>
      <c r="O25" s="17">
        <v>543</v>
      </c>
      <c r="P25" s="18"/>
      <c r="Q25" s="17">
        <v>415</v>
      </c>
      <c r="R25" s="18"/>
      <c r="S25" s="17">
        <v>638</v>
      </c>
      <c r="T25" s="18"/>
      <c r="U25" s="17">
        <v>728</v>
      </c>
      <c r="V25" s="18"/>
      <c r="W25" s="17">
        <v>517</v>
      </c>
      <c r="X25" s="18"/>
      <c r="Y25" s="17">
        <v>347</v>
      </c>
      <c r="Z25" s="18"/>
      <c r="AA25" s="17">
        <v>267</v>
      </c>
      <c r="AB25" s="18"/>
      <c r="AC25" s="17">
        <v>116</v>
      </c>
      <c r="AD25" s="18"/>
      <c r="AE25" s="17">
        <v>167</v>
      </c>
      <c r="AF25" s="18"/>
      <c r="AG25" s="17">
        <v>160</v>
      </c>
      <c r="AH25" s="18"/>
      <c r="AI25" s="17">
        <v>204</v>
      </c>
      <c r="AJ25" s="18">
        <v>0</v>
      </c>
      <c r="AK25" s="26">
        <f t="shared" si="0"/>
        <v>7006</v>
      </c>
      <c r="AL25" s="27">
        <f t="shared" si="1"/>
        <v>0</v>
      </c>
      <c r="AM25" s="28">
        <f t="shared" si="6"/>
        <v>467.06666666666666</v>
      </c>
      <c r="AN25" s="29">
        <f t="shared" si="7"/>
        <v>0</v>
      </c>
      <c r="AO25" s="26">
        <f t="shared" si="2"/>
        <v>881</v>
      </c>
      <c r="AP25" s="27">
        <f t="shared" si="3"/>
        <v>0</v>
      </c>
      <c r="AQ25" s="26">
        <f t="shared" si="4"/>
        <v>237.93569626173277</v>
      </c>
      <c r="AR25" s="27">
        <f t="shared" si="5"/>
        <v>0</v>
      </c>
    </row>
    <row r="26" spans="1:44" ht="12.75" x14ac:dyDescent="0.25">
      <c r="A26" s="9" t="s">
        <v>41</v>
      </c>
      <c r="B26" s="13" t="s">
        <v>63</v>
      </c>
      <c r="C26" s="11" t="s">
        <v>122</v>
      </c>
      <c r="D26" s="13" t="s">
        <v>148</v>
      </c>
      <c r="E26" s="7" t="s">
        <v>110</v>
      </c>
      <c r="F26" s="7" t="s">
        <v>191</v>
      </c>
      <c r="G26" s="17">
        <v>185</v>
      </c>
      <c r="H26" s="18">
        <v>117</v>
      </c>
      <c r="I26" s="17">
        <v>42</v>
      </c>
      <c r="J26" s="18">
        <v>105</v>
      </c>
      <c r="K26" s="17">
        <v>48</v>
      </c>
      <c r="L26" s="18">
        <v>94</v>
      </c>
      <c r="M26" s="17">
        <v>773</v>
      </c>
      <c r="N26" s="18">
        <v>122</v>
      </c>
      <c r="O26" s="17">
        <v>1156</v>
      </c>
      <c r="P26" s="18">
        <v>661</v>
      </c>
      <c r="Q26" s="17">
        <v>510</v>
      </c>
      <c r="R26" s="18">
        <v>219</v>
      </c>
      <c r="S26" s="17">
        <v>9</v>
      </c>
      <c r="T26" s="18">
        <v>29</v>
      </c>
      <c r="U26" s="17">
        <v>126</v>
      </c>
      <c r="V26" s="18">
        <v>60</v>
      </c>
      <c r="W26" s="17">
        <v>95</v>
      </c>
      <c r="X26" s="18">
        <v>118</v>
      </c>
      <c r="Y26" s="17">
        <v>61</v>
      </c>
      <c r="Z26" s="18">
        <v>17</v>
      </c>
      <c r="AA26" s="17">
        <v>113</v>
      </c>
      <c r="AB26" s="18">
        <v>472</v>
      </c>
      <c r="AC26" s="17">
        <v>47</v>
      </c>
      <c r="AD26" s="18">
        <v>405</v>
      </c>
      <c r="AE26" s="17">
        <v>55</v>
      </c>
      <c r="AF26" s="18">
        <v>108</v>
      </c>
      <c r="AG26" s="17">
        <v>87</v>
      </c>
      <c r="AH26" s="18">
        <v>195</v>
      </c>
      <c r="AI26" s="17">
        <v>74</v>
      </c>
      <c r="AJ26" s="18">
        <v>321</v>
      </c>
      <c r="AK26" s="26">
        <f t="shared" si="0"/>
        <v>3381</v>
      </c>
      <c r="AL26" s="27">
        <f t="shared" si="1"/>
        <v>3043</v>
      </c>
      <c r="AM26" s="28">
        <f t="shared" si="6"/>
        <v>225.4</v>
      </c>
      <c r="AN26" s="29">
        <f t="shared" si="7"/>
        <v>202.86666666666667</v>
      </c>
      <c r="AO26" s="26">
        <f t="shared" si="2"/>
        <v>1156</v>
      </c>
      <c r="AP26" s="27">
        <f t="shared" si="3"/>
        <v>661</v>
      </c>
      <c r="AQ26" s="26">
        <f t="shared" si="4"/>
        <v>319.36724941671775</v>
      </c>
      <c r="AR26" s="27">
        <f t="shared" si="5"/>
        <v>177.79871265625695</v>
      </c>
    </row>
    <row r="27" spans="1:44" ht="12.75" x14ac:dyDescent="0.25">
      <c r="A27" s="9" t="s">
        <v>13</v>
      </c>
      <c r="B27" s="13" t="s">
        <v>65</v>
      </c>
      <c r="C27" s="11" t="s">
        <v>122</v>
      </c>
      <c r="D27" s="13" t="s">
        <v>147</v>
      </c>
      <c r="E27" s="7" t="s">
        <v>110</v>
      </c>
      <c r="F27" s="7" t="s">
        <v>191</v>
      </c>
      <c r="G27" s="17">
        <v>2234</v>
      </c>
      <c r="H27" s="18"/>
      <c r="I27" s="17">
        <v>2903</v>
      </c>
      <c r="J27" s="18"/>
      <c r="K27" s="17">
        <v>3108</v>
      </c>
      <c r="L27" s="18"/>
      <c r="M27" s="17">
        <v>968</v>
      </c>
      <c r="N27" s="18"/>
      <c r="O27" s="17">
        <v>10</v>
      </c>
      <c r="P27" s="18"/>
      <c r="Q27" s="17">
        <v>149</v>
      </c>
      <c r="R27" s="18"/>
      <c r="S27" s="17">
        <v>1624</v>
      </c>
      <c r="T27" s="18"/>
      <c r="U27" s="17">
        <v>2569</v>
      </c>
      <c r="V27" s="18"/>
      <c r="W27" s="17">
        <v>1375</v>
      </c>
      <c r="X27" s="18"/>
      <c r="Y27" s="17">
        <v>1737</v>
      </c>
      <c r="Z27" s="18"/>
      <c r="AA27" s="17">
        <v>993</v>
      </c>
      <c r="AB27" s="18"/>
      <c r="AC27" s="17">
        <v>948</v>
      </c>
      <c r="AD27" s="18"/>
      <c r="AE27" s="17">
        <v>970</v>
      </c>
      <c r="AF27" s="18"/>
      <c r="AG27" s="17">
        <v>830</v>
      </c>
      <c r="AH27" s="18"/>
      <c r="AI27" s="17">
        <v>1048</v>
      </c>
      <c r="AJ27" s="18">
        <v>0</v>
      </c>
      <c r="AK27" s="26">
        <f t="shared" si="0"/>
        <v>21466</v>
      </c>
      <c r="AL27" s="27">
        <f t="shared" si="1"/>
        <v>0</v>
      </c>
      <c r="AM27" s="28">
        <f t="shared" si="6"/>
        <v>1431.0666666666666</v>
      </c>
      <c r="AN27" s="29">
        <f t="shared" si="7"/>
        <v>0</v>
      </c>
      <c r="AO27" s="26">
        <f t="shared" si="2"/>
        <v>3108</v>
      </c>
      <c r="AP27" s="27">
        <f t="shared" si="3"/>
        <v>0</v>
      </c>
      <c r="AQ27" s="26">
        <f t="shared" si="4"/>
        <v>897.24262543020598</v>
      </c>
      <c r="AR27" s="27">
        <f t="shared" si="5"/>
        <v>0</v>
      </c>
    </row>
    <row r="28" spans="1:44" ht="12.75" x14ac:dyDescent="0.25">
      <c r="A28" s="9" t="s">
        <v>35</v>
      </c>
      <c r="B28" s="13" t="s">
        <v>63</v>
      </c>
      <c r="C28" s="11" t="s">
        <v>122</v>
      </c>
      <c r="D28" s="13" t="s">
        <v>88</v>
      </c>
      <c r="E28" s="7" t="s">
        <v>110</v>
      </c>
      <c r="F28" s="7" t="s">
        <v>192</v>
      </c>
      <c r="G28" s="17">
        <v>1207</v>
      </c>
      <c r="H28" s="18">
        <v>1387</v>
      </c>
      <c r="I28" s="17">
        <v>775</v>
      </c>
      <c r="J28" s="18">
        <v>1164</v>
      </c>
      <c r="K28" s="17">
        <v>932</v>
      </c>
      <c r="L28" s="18">
        <v>1452</v>
      </c>
      <c r="M28" s="17">
        <v>1084</v>
      </c>
      <c r="N28" s="18">
        <v>1168</v>
      </c>
      <c r="O28" s="17">
        <v>951</v>
      </c>
      <c r="P28" s="18">
        <v>1041</v>
      </c>
      <c r="Q28" s="17">
        <v>1511</v>
      </c>
      <c r="R28" s="18">
        <v>788</v>
      </c>
      <c r="S28" s="17">
        <v>857</v>
      </c>
      <c r="T28" s="18">
        <v>752</v>
      </c>
      <c r="U28" s="17">
        <v>839</v>
      </c>
      <c r="V28" s="18">
        <v>1069</v>
      </c>
      <c r="W28" s="17">
        <v>545</v>
      </c>
      <c r="X28" s="18">
        <v>805</v>
      </c>
      <c r="Y28" s="17">
        <v>750</v>
      </c>
      <c r="Z28" s="18">
        <v>1431</v>
      </c>
      <c r="AA28" s="17">
        <v>778</v>
      </c>
      <c r="AB28" s="18">
        <v>864</v>
      </c>
      <c r="AC28" s="17">
        <v>475</v>
      </c>
      <c r="AD28" s="18">
        <v>1150</v>
      </c>
      <c r="AE28" s="17">
        <v>904</v>
      </c>
      <c r="AF28" s="18">
        <v>1194</v>
      </c>
      <c r="AG28" s="17">
        <v>518</v>
      </c>
      <c r="AH28" s="18">
        <v>784</v>
      </c>
      <c r="AI28" s="17">
        <v>878</v>
      </c>
      <c r="AJ28" s="18">
        <v>1447</v>
      </c>
      <c r="AK28" s="26">
        <f t="shared" si="0"/>
        <v>13004</v>
      </c>
      <c r="AL28" s="27">
        <f t="shared" si="1"/>
        <v>16496</v>
      </c>
      <c r="AM28" s="28">
        <f t="shared" si="6"/>
        <v>866.93333333333328</v>
      </c>
      <c r="AN28" s="29">
        <f t="shared" si="7"/>
        <v>1099.7333333333333</v>
      </c>
      <c r="AO28" s="26">
        <f t="shared" si="2"/>
        <v>1511</v>
      </c>
      <c r="AP28" s="27">
        <f t="shared" si="3"/>
        <v>1452</v>
      </c>
      <c r="AQ28" s="26">
        <f t="shared" si="4"/>
        <v>258.23799531095773</v>
      </c>
      <c r="AR28" s="27">
        <f t="shared" si="5"/>
        <v>247.89311316685576</v>
      </c>
    </row>
    <row r="29" spans="1:44" ht="12.75" x14ac:dyDescent="0.25">
      <c r="A29" s="39" t="s">
        <v>53</v>
      </c>
      <c r="B29" s="40" t="s">
        <v>63</v>
      </c>
      <c r="C29" s="39" t="s">
        <v>122</v>
      </c>
      <c r="D29" s="40" t="s">
        <v>132</v>
      </c>
      <c r="E29" s="37" t="s">
        <v>110</v>
      </c>
      <c r="F29" s="37" t="s">
        <v>193</v>
      </c>
      <c r="G29" s="17">
        <v>4</v>
      </c>
      <c r="H29" s="18"/>
      <c r="I29" s="17"/>
      <c r="J29" s="18"/>
      <c r="K29" s="17"/>
      <c r="L29" s="18"/>
      <c r="M29" s="17"/>
      <c r="N29" s="18"/>
      <c r="O29" s="17"/>
      <c r="P29" s="18"/>
      <c r="Q29" s="17"/>
      <c r="R29" s="18"/>
      <c r="S29" s="17"/>
      <c r="T29" s="18"/>
      <c r="U29" s="17"/>
      <c r="V29" s="18"/>
      <c r="W29" s="17"/>
      <c r="X29" s="18"/>
      <c r="Y29" s="17"/>
      <c r="Z29" s="18"/>
      <c r="AA29" s="17"/>
      <c r="AB29" s="18"/>
      <c r="AC29" s="17"/>
      <c r="AD29" s="18"/>
      <c r="AE29" s="17"/>
      <c r="AF29" s="18"/>
      <c r="AG29" s="17"/>
      <c r="AH29" s="18">
        <v>0</v>
      </c>
      <c r="AI29" s="17">
        <v>0</v>
      </c>
      <c r="AJ29" s="18">
        <v>0</v>
      </c>
      <c r="AK29" s="26">
        <f t="shared" si="0"/>
        <v>4</v>
      </c>
      <c r="AL29" s="27">
        <f t="shared" si="1"/>
        <v>0</v>
      </c>
      <c r="AM29" s="28">
        <f t="shared" si="6"/>
        <v>0.26666666666666666</v>
      </c>
      <c r="AN29" s="29">
        <f t="shared" si="7"/>
        <v>0</v>
      </c>
      <c r="AO29" s="26">
        <f t="shared" si="2"/>
        <v>4</v>
      </c>
      <c r="AP29" s="27">
        <f t="shared" si="3"/>
        <v>0</v>
      </c>
      <c r="AQ29" s="26">
        <f t="shared" si="4"/>
        <v>2</v>
      </c>
      <c r="AR29" s="27">
        <f t="shared" si="5"/>
        <v>0</v>
      </c>
    </row>
    <row r="30" spans="1:44" ht="12.75" x14ac:dyDescent="0.25">
      <c r="A30" s="9" t="s">
        <v>48</v>
      </c>
      <c r="B30" s="13" t="s">
        <v>63</v>
      </c>
      <c r="C30" s="11" t="s">
        <v>122</v>
      </c>
      <c r="D30" s="13" t="s">
        <v>129</v>
      </c>
      <c r="E30" s="7" t="s">
        <v>110</v>
      </c>
      <c r="F30" s="7" t="s">
        <v>194</v>
      </c>
      <c r="G30" s="17">
        <v>305</v>
      </c>
      <c r="H30" s="18">
        <v>1393</v>
      </c>
      <c r="I30" s="17"/>
      <c r="J30" s="18"/>
      <c r="K30" s="17"/>
      <c r="L30" s="18"/>
      <c r="M30" s="17">
        <v>23</v>
      </c>
      <c r="N30" s="18">
        <v>5</v>
      </c>
      <c r="O30" s="17">
        <v>5</v>
      </c>
      <c r="P30" s="18">
        <v>5</v>
      </c>
      <c r="Q30" s="17">
        <v>16</v>
      </c>
      <c r="R30" s="18">
        <v>54</v>
      </c>
      <c r="S30" s="17">
        <v>22</v>
      </c>
      <c r="T30" s="18">
        <v>16</v>
      </c>
      <c r="U30" s="17">
        <v>8</v>
      </c>
      <c r="V30" s="18">
        <v>6</v>
      </c>
      <c r="W30" s="17">
        <v>45</v>
      </c>
      <c r="X30" s="18">
        <v>129</v>
      </c>
      <c r="Y30" s="17">
        <v>16</v>
      </c>
      <c r="Z30" s="18">
        <v>199</v>
      </c>
      <c r="AA30" s="17">
        <v>39</v>
      </c>
      <c r="AB30" s="18">
        <v>77</v>
      </c>
      <c r="AC30" s="17"/>
      <c r="AD30" s="18">
        <v>34</v>
      </c>
      <c r="AE30" s="17"/>
      <c r="AF30" s="18">
        <v>6</v>
      </c>
      <c r="AG30" s="17"/>
      <c r="AH30" s="18">
        <v>104</v>
      </c>
      <c r="AI30" s="17">
        <v>35</v>
      </c>
      <c r="AJ30" s="18">
        <v>21</v>
      </c>
      <c r="AK30" s="26">
        <f t="shared" si="0"/>
        <v>514</v>
      </c>
      <c r="AL30" s="27">
        <f t="shared" si="1"/>
        <v>2049</v>
      </c>
      <c r="AM30" s="28">
        <f t="shared" si="6"/>
        <v>34.266666666666666</v>
      </c>
      <c r="AN30" s="29">
        <f t="shared" si="7"/>
        <v>136.6</v>
      </c>
      <c r="AO30" s="26">
        <f t="shared" si="2"/>
        <v>305</v>
      </c>
      <c r="AP30" s="27">
        <f t="shared" si="3"/>
        <v>1393</v>
      </c>
      <c r="AQ30" s="26">
        <f t="shared" si="4"/>
        <v>85.434419293397198</v>
      </c>
      <c r="AR30" s="27">
        <f t="shared" si="5"/>
        <v>361.12783555060867</v>
      </c>
    </row>
    <row r="31" spans="1:44" ht="12.75" x14ac:dyDescent="0.25">
      <c r="A31" s="9" t="s">
        <v>36</v>
      </c>
      <c r="B31" s="14" t="s">
        <v>63</v>
      </c>
      <c r="C31" s="11" t="s">
        <v>120</v>
      </c>
      <c r="D31" s="14" t="s">
        <v>146</v>
      </c>
      <c r="E31" s="8" t="s">
        <v>109</v>
      </c>
      <c r="F31" s="8" t="s">
        <v>191</v>
      </c>
      <c r="G31" s="17">
        <v>85</v>
      </c>
      <c r="H31" s="18">
        <v>1</v>
      </c>
      <c r="I31" s="17">
        <v>73</v>
      </c>
      <c r="J31" s="18">
        <v>6</v>
      </c>
      <c r="K31" s="17">
        <v>76</v>
      </c>
      <c r="L31" s="18">
        <v>340</v>
      </c>
      <c r="M31" s="17">
        <v>31</v>
      </c>
      <c r="N31" s="18">
        <v>178</v>
      </c>
      <c r="O31" s="17">
        <v>196</v>
      </c>
      <c r="P31" s="18">
        <v>99</v>
      </c>
      <c r="Q31" s="17">
        <v>100</v>
      </c>
      <c r="R31" s="18">
        <v>168</v>
      </c>
      <c r="S31" s="17">
        <v>139</v>
      </c>
      <c r="T31" s="18">
        <v>230</v>
      </c>
      <c r="U31" s="17">
        <v>392</v>
      </c>
      <c r="V31" s="18">
        <v>340</v>
      </c>
      <c r="W31" s="17">
        <v>287</v>
      </c>
      <c r="X31" s="18">
        <v>154</v>
      </c>
      <c r="Y31" s="17">
        <v>359</v>
      </c>
      <c r="Z31" s="18">
        <v>163</v>
      </c>
      <c r="AA31" s="17">
        <v>590</v>
      </c>
      <c r="AB31" s="18">
        <v>823</v>
      </c>
      <c r="AC31" s="17">
        <v>380</v>
      </c>
      <c r="AD31" s="18">
        <v>1090</v>
      </c>
      <c r="AE31" s="17">
        <v>139</v>
      </c>
      <c r="AF31" s="18">
        <v>425</v>
      </c>
      <c r="AG31" s="17">
        <v>319</v>
      </c>
      <c r="AH31" s="18">
        <v>308</v>
      </c>
      <c r="AI31" s="17">
        <v>223</v>
      </c>
      <c r="AJ31" s="18">
        <v>750</v>
      </c>
      <c r="AK31" s="26">
        <f t="shared" si="0"/>
        <v>3389</v>
      </c>
      <c r="AL31" s="27">
        <f t="shared" si="1"/>
        <v>5075</v>
      </c>
      <c r="AM31" s="28">
        <f t="shared" si="6"/>
        <v>225.93333333333334</v>
      </c>
      <c r="AN31" s="29">
        <f t="shared" si="7"/>
        <v>338.33333333333331</v>
      </c>
      <c r="AO31" s="26">
        <f t="shared" si="2"/>
        <v>590</v>
      </c>
      <c r="AP31" s="27">
        <f t="shared" si="3"/>
        <v>1090</v>
      </c>
      <c r="AQ31" s="26">
        <f t="shared" si="4"/>
        <v>152.6575543132042</v>
      </c>
      <c r="AR31" s="27">
        <f t="shared" si="5"/>
        <v>304.46754981260136</v>
      </c>
    </row>
    <row r="32" spans="1:44" ht="12.75" x14ac:dyDescent="0.25">
      <c r="A32" s="9" t="s">
        <v>6</v>
      </c>
      <c r="B32" s="13" t="s">
        <v>65</v>
      </c>
      <c r="C32" s="11" t="s">
        <v>120</v>
      </c>
      <c r="D32" s="13" t="s">
        <v>146</v>
      </c>
      <c r="E32" s="7" t="s">
        <v>109</v>
      </c>
      <c r="F32" s="7" t="s">
        <v>191</v>
      </c>
      <c r="G32" s="17">
        <v>1700</v>
      </c>
      <c r="H32" s="18"/>
      <c r="I32" s="17">
        <v>1101</v>
      </c>
      <c r="J32" s="18"/>
      <c r="K32" s="17">
        <v>2069</v>
      </c>
      <c r="L32" s="18"/>
      <c r="M32" s="17">
        <v>1407</v>
      </c>
      <c r="N32" s="18"/>
      <c r="O32" s="17">
        <v>1418</v>
      </c>
      <c r="P32" s="18"/>
      <c r="Q32" s="17">
        <v>635</v>
      </c>
      <c r="R32" s="18"/>
      <c r="S32" s="17">
        <v>847</v>
      </c>
      <c r="T32" s="18"/>
      <c r="U32" s="17">
        <v>743</v>
      </c>
      <c r="V32" s="18"/>
      <c r="W32" s="17">
        <v>2257</v>
      </c>
      <c r="X32" s="18"/>
      <c r="Y32" s="17">
        <v>1204</v>
      </c>
      <c r="Z32" s="18"/>
      <c r="AA32" s="17">
        <v>661</v>
      </c>
      <c r="AB32" s="18"/>
      <c r="AC32" s="17">
        <v>750</v>
      </c>
      <c r="AD32" s="18"/>
      <c r="AE32" s="17">
        <v>834</v>
      </c>
      <c r="AF32" s="18"/>
      <c r="AG32" s="17">
        <v>979</v>
      </c>
      <c r="AH32" s="18"/>
      <c r="AI32" s="17">
        <v>751</v>
      </c>
      <c r="AJ32" s="18">
        <v>0</v>
      </c>
      <c r="AK32" s="26">
        <f t="shared" si="0"/>
        <v>17356</v>
      </c>
      <c r="AL32" s="27">
        <f t="shared" si="1"/>
        <v>0</v>
      </c>
      <c r="AM32" s="28">
        <f t="shared" si="6"/>
        <v>1157.0666666666666</v>
      </c>
      <c r="AN32" s="29">
        <f t="shared" si="7"/>
        <v>0</v>
      </c>
      <c r="AO32" s="26">
        <f t="shared" si="2"/>
        <v>2257</v>
      </c>
      <c r="AP32" s="27">
        <f t="shared" si="3"/>
        <v>0</v>
      </c>
      <c r="AQ32" s="26">
        <f t="shared" si="4"/>
        <v>498.33408695595188</v>
      </c>
      <c r="AR32" s="27">
        <f t="shared" si="5"/>
        <v>0</v>
      </c>
    </row>
    <row r="33" spans="1:44" ht="12.75" x14ac:dyDescent="0.25">
      <c r="A33" s="9" t="s">
        <v>39</v>
      </c>
      <c r="B33" s="13" t="s">
        <v>63</v>
      </c>
      <c r="C33" s="11" t="s">
        <v>120</v>
      </c>
      <c r="D33" s="13" t="s">
        <v>90</v>
      </c>
      <c r="E33" s="7" t="s">
        <v>109</v>
      </c>
      <c r="F33" s="7" t="s">
        <v>205</v>
      </c>
      <c r="G33" s="17">
        <v>533</v>
      </c>
      <c r="H33" s="18">
        <v>2314</v>
      </c>
      <c r="I33" s="17">
        <v>827</v>
      </c>
      <c r="J33" s="18">
        <v>1732</v>
      </c>
      <c r="K33" s="17">
        <v>2169</v>
      </c>
      <c r="L33" s="18">
        <v>4929</v>
      </c>
      <c r="M33" s="17">
        <v>1255</v>
      </c>
      <c r="N33" s="18">
        <v>3980</v>
      </c>
      <c r="O33" s="17">
        <v>1104</v>
      </c>
      <c r="P33" s="18">
        <v>1756</v>
      </c>
      <c r="Q33" s="17">
        <v>901</v>
      </c>
      <c r="R33" s="18">
        <v>1937</v>
      </c>
      <c r="S33" s="17">
        <v>666</v>
      </c>
      <c r="T33" s="18">
        <v>1106</v>
      </c>
      <c r="U33" s="17">
        <v>677</v>
      </c>
      <c r="V33" s="18">
        <v>1372</v>
      </c>
      <c r="W33" s="17">
        <v>1174</v>
      </c>
      <c r="X33" s="18">
        <v>1490</v>
      </c>
      <c r="Y33" s="17">
        <v>705</v>
      </c>
      <c r="Z33" s="18">
        <v>1118</v>
      </c>
      <c r="AA33" s="17">
        <v>660</v>
      </c>
      <c r="AB33" s="18">
        <v>1166</v>
      </c>
      <c r="AC33" s="17">
        <v>799</v>
      </c>
      <c r="AD33" s="18">
        <v>649</v>
      </c>
      <c r="AE33" s="17">
        <v>648</v>
      </c>
      <c r="AF33" s="18">
        <v>888</v>
      </c>
      <c r="AG33" s="17">
        <v>863</v>
      </c>
      <c r="AH33" s="18">
        <v>1426</v>
      </c>
      <c r="AI33" s="17">
        <v>1241</v>
      </c>
      <c r="AJ33" s="18">
        <v>1715</v>
      </c>
      <c r="AK33" s="26">
        <f t="shared" si="0"/>
        <v>14222</v>
      </c>
      <c r="AL33" s="27">
        <f t="shared" si="1"/>
        <v>27578</v>
      </c>
      <c r="AM33" s="28">
        <f t="shared" si="6"/>
        <v>948.13333333333333</v>
      </c>
      <c r="AN33" s="29">
        <f t="shared" si="7"/>
        <v>1838.5333333333333</v>
      </c>
      <c r="AO33" s="26">
        <f t="shared" si="2"/>
        <v>2169</v>
      </c>
      <c r="AP33" s="27">
        <f t="shared" si="3"/>
        <v>4929</v>
      </c>
      <c r="AQ33" s="26">
        <f t="shared" si="4"/>
        <v>395.79537923303531</v>
      </c>
      <c r="AR33" s="27">
        <f t="shared" si="5"/>
        <v>1117.7936521956497</v>
      </c>
    </row>
    <row r="34" spans="1:44" ht="12.75" x14ac:dyDescent="0.25">
      <c r="A34" s="11" t="s">
        <v>38</v>
      </c>
      <c r="B34" s="14" t="s">
        <v>63</v>
      </c>
      <c r="C34" s="11" t="s">
        <v>120</v>
      </c>
      <c r="D34" s="14" t="s">
        <v>75</v>
      </c>
      <c r="E34" s="8" t="s">
        <v>109</v>
      </c>
      <c r="F34" s="8" t="s">
        <v>192</v>
      </c>
      <c r="G34" s="17">
        <v>110</v>
      </c>
      <c r="H34" s="18">
        <v>375</v>
      </c>
      <c r="I34" s="17">
        <v>51</v>
      </c>
      <c r="J34" s="18">
        <v>354</v>
      </c>
      <c r="K34" s="17">
        <v>58</v>
      </c>
      <c r="L34" s="18">
        <v>326</v>
      </c>
      <c r="M34" s="17">
        <v>82</v>
      </c>
      <c r="N34" s="18">
        <v>14</v>
      </c>
      <c r="O34" s="17">
        <v>208</v>
      </c>
      <c r="P34" s="18">
        <v>50</v>
      </c>
      <c r="Q34" s="17">
        <v>53</v>
      </c>
      <c r="R34" s="18">
        <v>84</v>
      </c>
      <c r="S34" s="17">
        <v>28</v>
      </c>
      <c r="T34" s="18">
        <v>10</v>
      </c>
      <c r="U34" s="17">
        <v>21</v>
      </c>
      <c r="V34" s="18">
        <v>63</v>
      </c>
      <c r="W34" s="17">
        <v>49</v>
      </c>
      <c r="X34" s="18">
        <v>67</v>
      </c>
      <c r="Y34" s="17">
        <v>150</v>
      </c>
      <c r="Z34" s="18">
        <v>135</v>
      </c>
      <c r="AA34" s="17">
        <v>128</v>
      </c>
      <c r="AB34" s="18">
        <v>198</v>
      </c>
      <c r="AC34" s="17">
        <v>267</v>
      </c>
      <c r="AD34" s="18">
        <v>249</v>
      </c>
      <c r="AE34" s="17">
        <v>14</v>
      </c>
      <c r="AF34" s="18">
        <v>16</v>
      </c>
      <c r="AG34" s="17">
        <v>7</v>
      </c>
      <c r="AH34" s="18">
        <v>4</v>
      </c>
      <c r="AI34" s="17">
        <v>0</v>
      </c>
      <c r="AJ34" s="18">
        <v>0</v>
      </c>
      <c r="AK34" s="26">
        <f t="shared" si="0"/>
        <v>1226</v>
      </c>
      <c r="AL34" s="27">
        <f t="shared" si="1"/>
        <v>1945</v>
      </c>
      <c r="AM34" s="28">
        <f t="shared" si="6"/>
        <v>81.733333333333334</v>
      </c>
      <c r="AN34" s="29">
        <f t="shared" si="7"/>
        <v>129.66666666666666</v>
      </c>
      <c r="AO34" s="26">
        <f t="shared" si="2"/>
        <v>267</v>
      </c>
      <c r="AP34" s="27">
        <f t="shared" si="3"/>
        <v>375</v>
      </c>
      <c r="AQ34" s="26">
        <f t="shared" si="4"/>
        <v>75.144719634109279</v>
      </c>
      <c r="AR34" s="27">
        <f t="shared" si="5"/>
        <v>131.15571745914175</v>
      </c>
    </row>
    <row r="35" spans="1:44" ht="12.75" x14ac:dyDescent="0.25">
      <c r="A35" s="11" t="s">
        <v>18</v>
      </c>
      <c r="B35" s="14" t="s">
        <v>65</v>
      </c>
      <c r="C35" s="11" t="s">
        <v>120</v>
      </c>
      <c r="D35" s="14" t="s">
        <v>75</v>
      </c>
      <c r="E35" s="8" t="s">
        <v>109</v>
      </c>
      <c r="F35" s="8" t="s">
        <v>192</v>
      </c>
      <c r="G35" s="17">
        <v>564</v>
      </c>
      <c r="H35" s="18"/>
      <c r="I35" s="17">
        <v>757</v>
      </c>
      <c r="J35" s="18"/>
      <c r="K35" s="17">
        <v>533</v>
      </c>
      <c r="L35" s="18"/>
      <c r="M35" s="17">
        <v>1141</v>
      </c>
      <c r="N35" s="18"/>
      <c r="O35" s="17">
        <v>1167</v>
      </c>
      <c r="P35" s="18"/>
      <c r="Q35" s="17">
        <v>1309</v>
      </c>
      <c r="R35" s="18"/>
      <c r="S35" s="17">
        <v>830</v>
      </c>
      <c r="T35" s="18"/>
      <c r="U35" s="17">
        <v>1091</v>
      </c>
      <c r="V35" s="18"/>
      <c r="W35" s="17">
        <v>799</v>
      </c>
      <c r="X35" s="18"/>
      <c r="Y35" s="17">
        <v>1166</v>
      </c>
      <c r="Z35" s="18"/>
      <c r="AA35" s="17">
        <v>877</v>
      </c>
      <c r="AB35" s="18"/>
      <c r="AC35" s="17">
        <v>290</v>
      </c>
      <c r="AD35" s="18"/>
      <c r="AE35" s="17">
        <v>542</v>
      </c>
      <c r="AF35" s="18"/>
      <c r="AG35" s="17">
        <v>748</v>
      </c>
      <c r="AH35" s="18"/>
      <c r="AI35" s="17">
        <v>0</v>
      </c>
      <c r="AJ35" s="18">
        <v>0</v>
      </c>
      <c r="AK35" s="26">
        <f t="shared" si="0"/>
        <v>11814</v>
      </c>
      <c r="AL35" s="27">
        <f t="shared" si="1"/>
        <v>0</v>
      </c>
      <c r="AM35" s="28">
        <f t="shared" si="6"/>
        <v>787.6</v>
      </c>
      <c r="AN35" s="29">
        <f t="shared" si="7"/>
        <v>0</v>
      </c>
      <c r="AO35" s="26">
        <f t="shared" si="2"/>
        <v>1309</v>
      </c>
      <c r="AP35" s="27">
        <f t="shared" si="3"/>
        <v>0</v>
      </c>
      <c r="AQ35" s="26">
        <f t="shared" si="4"/>
        <v>349.419862057096</v>
      </c>
      <c r="AR35" s="27">
        <f t="shared" si="5"/>
        <v>0</v>
      </c>
    </row>
    <row r="36" spans="1:44" s="12" customFormat="1" ht="12.75" x14ac:dyDescent="0.25">
      <c r="A36" s="11" t="s">
        <v>33</v>
      </c>
      <c r="B36" s="13" t="s">
        <v>63</v>
      </c>
      <c r="C36" s="11" t="s">
        <v>120</v>
      </c>
      <c r="D36" s="13" t="s">
        <v>86</v>
      </c>
      <c r="E36" s="7" t="s">
        <v>87</v>
      </c>
      <c r="F36" s="7" t="s">
        <v>87</v>
      </c>
      <c r="G36" s="28">
        <f>8220/16</f>
        <v>513.75</v>
      </c>
      <c r="H36" s="29">
        <f>5965/16</f>
        <v>372.8125</v>
      </c>
      <c r="I36" s="28">
        <f>8220/16</f>
        <v>513.75</v>
      </c>
      <c r="J36" s="29">
        <f>5965/16</f>
        <v>372.8125</v>
      </c>
      <c r="K36" s="28">
        <f>8220/16</f>
        <v>513.75</v>
      </c>
      <c r="L36" s="29">
        <f>5965/16</f>
        <v>372.8125</v>
      </c>
      <c r="M36" s="28">
        <f>8220/16</f>
        <v>513.75</v>
      </c>
      <c r="N36" s="29">
        <f>5965/16</f>
        <v>372.8125</v>
      </c>
      <c r="O36" s="28">
        <f>8220/16</f>
        <v>513.75</v>
      </c>
      <c r="P36" s="29">
        <f>5965/16</f>
        <v>372.8125</v>
      </c>
      <c r="Q36" s="33"/>
      <c r="R36" s="34"/>
      <c r="S36" s="33"/>
      <c r="T36" s="34"/>
      <c r="U36" s="33"/>
      <c r="V36" s="34"/>
      <c r="W36" s="33">
        <v>1244</v>
      </c>
      <c r="X36" s="34">
        <v>1364</v>
      </c>
      <c r="Y36" s="33"/>
      <c r="Z36" s="34"/>
      <c r="AA36" s="33"/>
      <c r="AB36" s="34"/>
      <c r="AC36" s="33"/>
      <c r="AD36" s="34"/>
      <c r="AE36" s="33"/>
      <c r="AF36" s="34"/>
      <c r="AG36" s="33"/>
      <c r="AH36" s="34"/>
      <c r="AI36" s="33">
        <v>0</v>
      </c>
      <c r="AJ36" s="34">
        <v>0</v>
      </c>
      <c r="AK36" s="26">
        <f t="shared" si="0"/>
        <v>3812.75</v>
      </c>
      <c r="AL36" s="27">
        <f t="shared" si="1"/>
        <v>3228.0625</v>
      </c>
      <c r="AM36" s="28">
        <f t="shared" si="6"/>
        <v>254.18333333333334</v>
      </c>
      <c r="AN36" s="29">
        <f t="shared" si="7"/>
        <v>215.20416666666668</v>
      </c>
      <c r="AO36" s="26">
        <f t="shared" si="2"/>
        <v>1244</v>
      </c>
      <c r="AP36" s="27">
        <f t="shared" si="3"/>
        <v>1364</v>
      </c>
      <c r="AQ36" s="26">
        <f t="shared" si="4"/>
        <v>336.0501853009701</v>
      </c>
      <c r="AR36" s="27">
        <f t="shared" si="5"/>
        <v>390.38717311131899</v>
      </c>
    </row>
    <row r="37" spans="1:44" ht="12.75" x14ac:dyDescent="0.25">
      <c r="A37" s="11" t="s">
        <v>16</v>
      </c>
      <c r="B37" s="14" t="s">
        <v>65</v>
      </c>
      <c r="C37" s="11" t="s">
        <v>120</v>
      </c>
      <c r="D37" s="14" t="s">
        <v>155</v>
      </c>
      <c r="E37" s="8" t="s">
        <v>109</v>
      </c>
      <c r="F37" s="8" t="s">
        <v>195</v>
      </c>
      <c r="G37" s="17">
        <v>184</v>
      </c>
      <c r="H37" s="18"/>
      <c r="I37" s="17">
        <v>125</v>
      </c>
      <c r="J37" s="18"/>
      <c r="K37" s="17">
        <v>80</v>
      </c>
      <c r="L37" s="18"/>
      <c r="M37" s="17">
        <v>69</v>
      </c>
      <c r="N37" s="18"/>
      <c r="O37" s="17">
        <v>80</v>
      </c>
      <c r="P37" s="18"/>
      <c r="Q37" s="17">
        <v>2</v>
      </c>
      <c r="R37" s="18"/>
      <c r="S37" s="17"/>
      <c r="T37" s="18"/>
      <c r="U37" s="17"/>
      <c r="V37" s="18"/>
      <c r="W37" s="17"/>
      <c r="X37" s="18"/>
      <c r="Y37" s="17"/>
      <c r="Z37" s="18"/>
      <c r="AA37" s="17"/>
      <c r="AB37" s="18"/>
      <c r="AC37" s="17"/>
      <c r="AD37" s="18"/>
      <c r="AE37" s="17"/>
      <c r="AF37" s="18"/>
      <c r="AG37" s="17"/>
      <c r="AH37" s="18"/>
      <c r="AI37" s="17">
        <v>0</v>
      </c>
      <c r="AJ37" s="18">
        <v>0</v>
      </c>
      <c r="AK37" s="26">
        <f t="shared" si="0"/>
        <v>540</v>
      </c>
      <c r="AL37" s="27">
        <f t="shared" si="1"/>
        <v>0</v>
      </c>
      <c r="AM37" s="28">
        <f t="shared" si="6"/>
        <v>36</v>
      </c>
      <c r="AN37" s="29">
        <f t="shared" si="7"/>
        <v>0</v>
      </c>
      <c r="AO37" s="26">
        <f t="shared" si="2"/>
        <v>184</v>
      </c>
      <c r="AP37" s="27">
        <f t="shared" si="3"/>
        <v>0</v>
      </c>
      <c r="AQ37" s="26">
        <f t="shared" si="4"/>
        <v>60.224410265578648</v>
      </c>
      <c r="AR37" s="27">
        <f t="shared" si="5"/>
        <v>0</v>
      </c>
    </row>
    <row r="38" spans="1:44" s="3" customFormat="1" ht="12.75" x14ac:dyDescent="0.25">
      <c r="A38" s="11" t="s">
        <v>23</v>
      </c>
      <c r="B38" s="13" t="s">
        <v>65</v>
      </c>
      <c r="C38" s="11" t="s">
        <v>120</v>
      </c>
      <c r="D38" s="13" t="s">
        <v>74</v>
      </c>
      <c r="E38" s="7" t="s">
        <v>310</v>
      </c>
      <c r="F38" s="8" t="s">
        <v>196</v>
      </c>
      <c r="G38" s="17">
        <v>566</v>
      </c>
      <c r="H38" s="18"/>
      <c r="I38" s="17">
        <v>145</v>
      </c>
      <c r="J38" s="18"/>
      <c r="K38" s="17">
        <v>410</v>
      </c>
      <c r="L38" s="18"/>
      <c r="M38" s="17">
        <v>260</v>
      </c>
      <c r="N38" s="18"/>
      <c r="O38" s="17">
        <v>297</v>
      </c>
      <c r="P38" s="18"/>
      <c r="Q38" s="17">
        <v>879</v>
      </c>
      <c r="R38" s="18"/>
      <c r="S38" s="17">
        <v>869</v>
      </c>
      <c r="T38" s="18"/>
      <c r="U38" s="17">
        <v>298</v>
      </c>
      <c r="V38" s="18"/>
      <c r="W38" s="17">
        <v>78</v>
      </c>
      <c r="X38" s="18"/>
      <c r="Y38" s="17">
        <v>140</v>
      </c>
      <c r="Z38" s="18"/>
      <c r="AA38" s="17">
        <v>96</v>
      </c>
      <c r="AB38" s="18"/>
      <c r="AC38" s="17">
        <v>77</v>
      </c>
      <c r="AD38" s="18"/>
      <c r="AE38" s="17">
        <v>85</v>
      </c>
      <c r="AF38" s="18"/>
      <c r="AG38" s="17"/>
      <c r="AH38" s="18"/>
      <c r="AI38" s="17">
        <v>0</v>
      </c>
      <c r="AJ38" s="18">
        <v>0</v>
      </c>
      <c r="AK38" s="26">
        <f t="shared" si="0"/>
        <v>4200</v>
      </c>
      <c r="AL38" s="27">
        <f t="shared" si="1"/>
        <v>0</v>
      </c>
      <c r="AM38" s="28">
        <f t="shared" si="6"/>
        <v>280</v>
      </c>
      <c r="AN38" s="29">
        <f t="shared" si="7"/>
        <v>0</v>
      </c>
      <c r="AO38" s="26">
        <f t="shared" si="2"/>
        <v>879</v>
      </c>
      <c r="AP38" s="27">
        <f t="shared" si="3"/>
        <v>0</v>
      </c>
      <c r="AQ38" s="26">
        <f t="shared" si="4"/>
        <v>276.45071893558173</v>
      </c>
      <c r="AR38" s="27">
        <f t="shared" si="5"/>
        <v>0</v>
      </c>
    </row>
    <row r="39" spans="1:44" s="3" customFormat="1" ht="12.75" x14ac:dyDescent="0.25">
      <c r="A39" s="11" t="s">
        <v>40</v>
      </c>
      <c r="B39" s="14" t="s">
        <v>63</v>
      </c>
      <c r="C39" s="11" t="s">
        <v>118</v>
      </c>
      <c r="D39" s="14" t="s">
        <v>91</v>
      </c>
      <c r="E39" s="8" t="s">
        <v>67</v>
      </c>
      <c r="F39" s="8" t="s">
        <v>197</v>
      </c>
      <c r="G39" s="17">
        <v>695</v>
      </c>
      <c r="H39" s="18">
        <v>2047</v>
      </c>
      <c r="I39" s="17">
        <v>399</v>
      </c>
      <c r="J39" s="18">
        <v>2104</v>
      </c>
      <c r="K39" s="17">
        <v>211</v>
      </c>
      <c r="L39" s="18">
        <v>945</v>
      </c>
      <c r="M39" s="17">
        <v>318</v>
      </c>
      <c r="N39" s="18">
        <v>1303</v>
      </c>
      <c r="O39" s="17">
        <v>606</v>
      </c>
      <c r="P39" s="18">
        <v>2562</v>
      </c>
      <c r="Q39" s="17">
        <v>380</v>
      </c>
      <c r="R39" s="18">
        <v>1744</v>
      </c>
      <c r="S39" s="17">
        <v>339</v>
      </c>
      <c r="T39" s="18">
        <v>2155</v>
      </c>
      <c r="U39" s="17">
        <v>463</v>
      </c>
      <c r="V39" s="18">
        <v>2052</v>
      </c>
      <c r="W39" s="17">
        <v>456</v>
      </c>
      <c r="X39" s="18">
        <v>1402</v>
      </c>
      <c r="Y39" s="17">
        <v>681</v>
      </c>
      <c r="Z39" s="18">
        <v>1885</v>
      </c>
      <c r="AA39" s="17">
        <v>261</v>
      </c>
      <c r="AB39" s="18">
        <v>1276</v>
      </c>
      <c r="AC39" s="17">
        <v>532</v>
      </c>
      <c r="AD39" s="18">
        <v>1129</v>
      </c>
      <c r="AE39" s="17">
        <v>282</v>
      </c>
      <c r="AF39" s="18">
        <v>1450</v>
      </c>
      <c r="AG39" s="17">
        <v>395</v>
      </c>
      <c r="AH39" s="18">
        <v>1323</v>
      </c>
      <c r="AI39" s="17">
        <v>234</v>
      </c>
      <c r="AJ39" s="18">
        <v>1540</v>
      </c>
      <c r="AK39" s="26">
        <f t="shared" ref="AK39:AK67" si="8">SUM(G39,I39,K39,M39,O39,Q39,S39,U39,W39,Y39,AA39,AC39,AE39,AG39,AI39)</f>
        <v>6252</v>
      </c>
      <c r="AL39" s="27">
        <f t="shared" ref="AL39:AL67" si="9">SUM(H39,J39,L39,N39,P39,R39,T39,V39,X39,Z39,AB39,AD39,AF39,AH39,AJ39)</f>
        <v>24917</v>
      </c>
      <c r="AM39" s="28">
        <f t="shared" si="6"/>
        <v>416.8</v>
      </c>
      <c r="AN39" s="29">
        <f t="shared" si="7"/>
        <v>1661.1333333333334</v>
      </c>
      <c r="AO39" s="26">
        <f t="shared" ref="AO39:AO68" si="10">MAX(G39,I39,K39,M39,O39,Q39,S39,U39,W39,Y39,AA39,AC39,AE39,AG39,AI39)</f>
        <v>695</v>
      </c>
      <c r="AP39" s="27">
        <f t="shared" ref="AP39:AP68" si="11">MAX(H39,J39,L39,N39,P39,R39,T39,V39,X39,Z39,AB39,AD39,AF39,AH39,AJ39)</f>
        <v>2562</v>
      </c>
      <c r="AQ39" s="26">
        <f t="shared" ref="AQ39:AQ68" si="12">IFERROR(STDEVP(G39,I39,K39,M39,O39,Q39,S39,U39,W39,Y39,AA39,AC39,AE39,AG39,AI39),"")</f>
        <v>149.69088148581395</v>
      </c>
      <c r="AR39" s="27">
        <f t="shared" ref="AR39:AR68" si="13">IFERROR(STDEVP(H39,J39,L39,N39,P39,R39,T39,V39,X39,Z39,AB39,AD39,AF39,AH39,AJ39),"")</f>
        <v>441.48112329093101</v>
      </c>
    </row>
    <row r="40" spans="1:44" ht="12.75" x14ac:dyDescent="0.25">
      <c r="A40" s="11" t="s">
        <v>49</v>
      </c>
      <c r="B40" s="14" t="s">
        <v>63</v>
      </c>
      <c r="C40" s="11" t="s">
        <v>118</v>
      </c>
      <c r="D40" s="14" t="s">
        <v>94</v>
      </c>
      <c r="E40" s="8" t="s">
        <v>67</v>
      </c>
      <c r="F40" s="8" t="s">
        <v>197</v>
      </c>
      <c r="G40" s="17">
        <v>862</v>
      </c>
      <c r="H40" s="18">
        <v>772</v>
      </c>
      <c r="I40" s="17">
        <v>236</v>
      </c>
      <c r="J40" s="18">
        <v>308</v>
      </c>
      <c r="K40" s="17">
        <v>143</v>
      </c>
      <c r="L40" s="18">
        <v>113</v>
      </c>
      <c r="M40" s="17">
        <v>31</v>
      </c>
      <c r="N40" s="18">
        <v>75</v>
      </c>
      <c r="O40" s="17">
        <v>43</v>
      </c>
      <c r="P40" s="18">
        <v>166</v>
      </c>
      <c r="Q40" s="17">
        <v>11</v>
      </c>
      <c r="R40" s="18">
        <v>121</v>
      </c>
      <c r="S40" s="17">
        <v>7</v>
      </c>
      <c r="T40" s="18">
        <v>87</v>
      </c>
      <c r="U40" s="17">
        <v>15</v>
      </c>
      <c r="V40" s="18">
        <v>45</v>
      </c>
      <c r="W40" s="17">
        <v>27</v>
      </c>
      <c r="X40" s="18">
        <v>42</v>
      </c>
      <c r="Y40" s="17">
        <v>9</v>
      </c>
      <c r="Z40" s="18">
        <v>32</v>
      </c>
      <c r="AA40" s="17">
        <v>7</v>
      </c>
      <c r="AB40" s="18">
        <v>13</v>
      </c>
      <c r="AC40" s="17">
        <v>161</v>
      </c>
      <c r="AD40" s="18">
        <v>175</v>
      </c>
      <c r="AE40" s="17">
        <v>11</v>
      </c>
      <c r="AF40" s="18">
        <v>184</v>
      </c>
      <c r="AG40" s="17">
        <v>2</v>
      </c>
      <c r="AH40" s="18">
        <v>3</v>
      </c>
      <c r="AI40" s="17">
        <v>12</v>
      </c>
      <c r="AJ40" s="18">
        <v>145</v>
      </c>
      <c r="AK40" s="26">
        <f t="shared" si="8"/>
        <v>1577</v>
      </c>
      <c r="AL40" s="27">
        <f t="shared" si="9"/>
        <v>2281</v>
      </c>
      <c r="AM40" s="28">
        <f t="shared" si="6"/>
        <v>105.13333333333334</v>
      </c>
      <c r="AN40" s="29">
        <f t="shared" si="7"/>
        <v>152.06666666666666</v>
      </c>
      <c r="AO40" s="26">
        <f t="shared" si="10"/>
        <v>862</v>
      </c>
      <c r="AP40" s="27">
        <f t="shared" si="11"/>
        <v>772</v>
      </c>
      <c r="AQ40" s="26">
        <f t="shared" si="12"/>
        <v>213.48656996531551</v>
      </c>
      <c r="AR40" s="27">
        <f t="shared" si="13"/>
        <v>183.0557170796792</v>
      </c>
    </row>
    <row r="41" spans="1:44" s="3" customFormat="1" ht="12.75" x14ac:dyDescent="0.25">
      <c r="A41" s="39" t="s">
        <v>28</v>
      </c>
      <c r="B41" s="203" t="s">
        <v>63</v>
      </c>
      <c r="C41" s="205" t="s">
        <v>118</v>
      </c>
      <c r="D41" s="203" t="s">
        <v>106</v>
      </c>
      <c r="E41" s="203" t="s">
        <v>67</v>
      </c>
      <c r="F41" s="38" t="s">
        <v>131</v>
      </c>
      <c r="G41" s="17"/>
      <c r="H41" s="18"/>
      <c r="I41" s="17">
        <v>997</v>
      </c>
      <c r="J41" s="18">
        <v>587</v>
      </c>
      <c r="K41" s="17">
        <v>592</v>
      </c>
      <c r="L41" s="18">
        <v>778</v>
      </c>
      <c r="M41" s="17">
        <v>665</v>
      </c>
      <c r="N41" s="18">
        <v>683</v>
      </c>
      <c r="O41" s="17">
        <v>571</v>
      </c>
      <c r="P41" s="18">
        <v>1472</v>
      </c>
      <c r="Q41" s="17"/>
      <c r="R41" s="18"/>
      <c r="S41" s="17"/>
      <c r="T41" s="18"/>
      <c r="U41" s="17"/>
      <c r="V41" s="18"/>
      <c r="W41" s="17"/>
      <c r="X41" s="18"/>
      <c r="Y41" s="17"/>
      <c r="Z41" s="18"/>
      <c r="AA41" s="17"/>
      <c r="AB41" s="18"/>
      <c r="AC41" s="17"/>
      <c r="AD41" s="18"/>
      <c r="AE41" s="17"/>
      <c r="AF41" s="18"/>
      <c r="AG41" s="17"/>
      <c r="AH41" s="18"/>
      <c r="AI41" s="17">
        <v>0</v>
      </c>
      <c r="AJ41" s="18">
        <v>0</v>
      </c>
      <c r="AK41" s="26">
        <f t="shared" si="8"/>
        <v>2825</v>
      </c>
      <c r="AL41" s="27">
        <f t="shared" si="9"/>
        <v>3520</v>
      </c>
      <c r="AM41" s="28">
        <f>AK41/15</f>
        <v>188.33333333333334</v>
      </c>
      <c r="AN41" s="29">
        <f>AL41/15</f>
        <v>234.66666666666666</v>
      </c>
      <c r="AO41" s="26">
        <f t="shared" si="10"/>
        <v>997</v>
      </c>
      <c r="AP41" s="27">
        <f t="shared" si="11"/>
        <v>1472</v>
      </c>
      <c r="AQ41" s="26">
        <f t="shared" si="12"/>
        <v>321.43864111211025</v>
      </c>
      <c r="AR41" s="27">
        <f t="shared" si="13"/>
        <v>470.11615585937909</v>
      </c>
    </row>
    <row r="42" spans="1:44" s="3" customFormat="1" ht="12.75" x14ac:dyDescent="0.25">
      <c r="A42" s="11" t="s">
        <v>54</v>
      </c>
      <c r="B42" s="204"/>
      <c r="C42" s="206"/>
      <c r="D42" s="204"/>
      <c r="E42" s="204"/>
      <c r="F42" s="8" t="s">
        <v>198</v>
      </c>
      <c r="G42" s="17"/>
      <c r="H42" s="18"/>
      <c r="I42" s="17"/>
      <c r="J42" s="18"/>
      <c r="K42" s="17"/>
      <c r="L42" s="18"/>
      <c r="M42" s="17"/>
      <c r="N42" s="18"/>
      <c r="O42" s="17"/>
      <c r="P42" s="18"/>
      <c r="Q42" s="17">
        <v>677</v>
      </c>
      <c r="R42" s="18">
        <v>939</v>
      </c>
      <c r="S42" s="17">
        <v>620</v>
      </c>
      <c r="T42" s="18">
        <v>982</v>
      </c>
      <c r="U42" s="17">
        <v>1721</v>
      </c>
      <c r="V42" s="18">
        <v>2785</v>
      </c>
      <c r="W42" s="17">
        <v>297</v>
      </c>
      <c r="X42" s="18">
        <v>633</v>
      </c>
      <c r="Y42" s="17">
        <v>397</v>
      </c>
      <c r="Z42" s="18">
        <v>613</v>
      </c>
      <c r="AA42" s="17">
        <v>375</v>
      </c>
      <c r="AB42" s="18">
        <v>744</v>
      </c>
      <c r="AC42" s="17">
        <v>176</v>
      </c>
      <c r="AD42" s="18">
        <v>314</v>
      </c>
      <c r="AE42" s="17">
        <v>213</v>
      </c>
      <c r="AF42" s="18">
        <v>611</v>
      </c>
      <c r="AG42" s="17">
        <v>175</v>
      </c>
      <c r="AH42" s="18">
        <v>829</v>
      </c>
      <c r="AI42" s="17">
        <v>225</v>
      </c>
      <c r="AJ42" s="18">
        <v>460</v>
      </c>
      <c r="AK42" s="26">
        <f t="shared" si="8"/>
        <v>4876</v>
      </c>
      <c r="AL42" s="27">
        <f t="shared" si="9"/>
        <v>8910</v>
      </c>
      <c r="AM42" s="28">
        <f t="shared" si="6"/>
        <v>325.06666666666666</v>
      </c>
      <c r="AN42" s="29">
        <f t="shared" si="7"/>
        <v>594</v>
      </c>
      <c r="AO42" s="26">
        <f t="shared" si="10"/>
        <v>1721</v>
      </c>
      <c r="AP42" s="27">
        <f t="shared" si="11"/>
        <v>2785</v>
      </c>
      <c r="AQ42" s="26">
        <f t="shared" si="12"/>
        <v>443.96738618957136</v>
      </c>
      <c r="AR42" s="27">
        <f t="shared" si="13"/>
        <v>660.62182827999254</v>
      </c>
    </row>
    <row r="43" spans="1:44" ht="12.75" x14ac:dyDescent="0.25">
      <c r="A43" s="11" t="s">
        <v>31</v>
      </c>
      <c r="B43" s="13" t="s">
        <v>63</v>
      </c>
      <c r="C43" s="11" t="s">
        <v>118</v>
      </c>
      <c r="D43" s="13" t="s">
        <v>83</v>
      </c>
      <c r="E43" s="7" t="s">
        <v>185</v>
      </c>
      <c r="F43" s="7" t="s">
        <v>209</v>
      </c>
      <c r="G43" s="17">
        <v>383</v>
      </c>
      <c r="H43" s="18">
        <v>911</v>
      </c>
      <c r="I43" s="17">
        <v>236</v>
      </c>
      <c r="J43" s="18">
        <v>2144</v>
      </c>
      <c r="K43" s="17">
        <v>701</v>
      </c>
      <c r="L43" s="18">
        <v>2116</v>
      </c>
      <c r="M43" s="17">
        <v>511</v>
      </c>
      <c r="N43" s="18">
        <v>1052</v>
      </c>
      <c r="O43" s="17">
        <v>1056</v>
      </c>
      <c r="P43" s="18">
        <v>1945</v>
      </c>
      <c r="Q43" s="17">
        <v>313</v>
      </c>
      <c r="R43" s="18">
        <v>1175</v>
      </c>
      <c r="S43" s="17">
        <v>617</v>
      </c>
      <c r="T43" s="18">
        <v>1404</v>
      </c>
      <c r="U43" s="17">
        <v>779</v>
      </c>
      <c r="V43" s="18">
        <v>1170</v>
      </c>
      <c r="W43" s="17">
        <v>1006</v>
      </c>
      <c r="X43" s="18">
        <v>1289</v>
      </c>
      <c r="Y43" s="17">
        <v>580</v>
      </c>
      <c r="Z43" s="18">
        <v>926</v>
      </c>
      <c r="AA43" s="17">
        <v>544</v>
      </c>
      <c r="AB43" s="18">
        <v>1168</v>
      </c>
      <c r="AC43" s="17">
        <v>494</v>
      </c>
      <c r="AD43" s="18">
        <v>723</v>
      </c>
      <c r="AE43" s="17">
        <v>576</v>
      </c>
      <c r="AF43" s="18">
        <v>1554</v>
      </c>
      <c r="AG43" s="17">
        <v>443</v>
      </c>
      <c r="AH43" s="18">
        <v>1145</v>
      </c>
      <c r="AI43" s="17">
        <v>757</v>
      </c>
      <c r="AJ43" s="18">
        <v>1128</v>
      </c>
      <c r="AK43" s="26">
        <f t="shared" si="8"/>
        <v>8996</v>
      </c>
      <c r="AL43" s="27">
        <f t="shared" si="9"/>
        <v>19850</v>
      </c>
      <c r="AM43" s="28">
        <f t="shared" si="6"/>
        <v>599.73333333333335</v>
      </c>
      <c r="AN43" s="29">
        <f t="shared" si="7"/>
        <v>1323.3333333333333</v>
      </c>
      <c r="AO43" s="26">
        <f t="shared" si="10"/>
        <v>1056</v>
      </c>
      <c r="AP43" s="27">
        <f t="shared" si="11"/>
        <v>2144</v>
      </c>
      <c r="AQ43" s="26">
        <f t="shared" si="12"/>
        <v>223.58040065165719</v>
      </c>
      <c r="AR43" s="27">
        <f t="shared" si="13"/>
        <v>420.37216315493055</v>
      </c>
    </row>
    <row r="44" spans="1:44" ht="12.75" x14ac:dyDescent="0.25">
      <c r="A44" s="11" t="s">
        <v>50</v>
      </c>
      <c r="B44" s="13" t="s">
        <v>63</v>
      </c>
      <c r="C44" s="11" t="s">
        <v>118</v>
      </c>
      <c r="D44" s="13" t="s">
        <v>95</v>
      </c>
      <c r="E44" s="7" t="s">
        <v>185</v>
      </c>
      <c r="F44" s="7" t="s">
        <v>185</v>
      </c>
      <c r="G44" s="17">
        <v>64</v>
      </c>
      <c r="H44" s="18">
        <v>62</v>
      </c>
      <c r="I44" s="17">
        <v>63</v>
      </c>
      <c r="J44" s="18">
        <v>67</v>
      </c>
      <c r="K44" s="17">
        <v>5</v>
      </c>
      <c r="L44" s="18">
        <v>75</v>
      </c>
      <c r="M44" s="17">
        <v>92</v>
      </c>
      <c r="N44" s="18">
        <v>41</v>
      </c>
      <c r="O44" s="17">
        <v>117</v>
      </c>
      <c r="P44" s="18">
        <v>42</v>
      </c>
      <c r="Q44" s="17">
        <v>17</v>
      </c>
      <c r="R44" s="18">
        <v>61</v>
      </c>
      <c r="S44" s="17">
        <v>31</v>
      </c>
      <c r="T44" s="18">
        <v>198</v>
      </c>
      <c r="U44" s="17">
        <v>71</v>
      </c>
      <c r="V44" s="18">
        <v>165</v>
      </c>
      <c r="W44" s="17">
        <v>76</v>
      </c>
      <c r="X44" s="18">
        <v>120</v>
      </c>
      <c r="Y44" s="17">
        <v>40</v>
      </c>
      <c r="Z44" s="18">
        <v>50</v>
      </c>
      <c r="AA44" s="17">
        <v>31</v>
      </c>
      <c r="AB44" s="18">
        <v>47</v>
      </c>
      <c r="AC44" s="17">
        <v>6</v>
      </c>
      <c r="AD44" s="18">
        <v>31</v>
      </c>
      <c r="AE44" s="17">
        <v>130</v>
      </c>
      <c r="AF44" s="18">
        <v>154</v>
      </c>
      <c r="AG44" s="17">
        <v>42</v>
      </c>
      <c r="AH44" s="18">
        <v>53</v>
      </c>
      <c r="AI44" s="17">
        <v>27</v>
      </c>
      <c r="AJ44" s="18">
        <v>38</v>
      </c>
      <c r="AK44" s="26">
        <f t="shared" si="8"/>
        <v>812</v>
      </c>
      <c r="AL44" s="27">
        <f t="shared" si="9"/>
        <v>1204</v>
      </c>
      <c r="AM44" s="28">
        <f t="shared" si="6"/>
        <v>54.133333333333333</v>
      </c>
      <c r="AN44" s="29">
        <f t="shared" si="7"/>
        <v>80.266666666666666</v>
      </c>
      <c r="AO44" s="26">
        <f t="shared" si="10"/>
        <v>130</v>
      </c>
      <c r="AP44" s="27">
        <f t="shared" si="11"/>
        <v>198</v>
      </c>
      <c r="AQ44" s="26">
        <f t="shared" si="12"/>
        <v>36.827284571210093</v>
      </c>
      <c r="AR44" s="27">
        <f t="shared" si="13"/>
        <v>50.958109157315569</v>
      </c>
    </row>
    <row r="45" spans="1:44" s="3" customFormat="1" ht="12.75" x14ac:dyDescent="0.25">
      <c r="A45" s="11" t="s">
        <v>42</v>
      </c>
      <c r="B45" s="14" t="s">
        <v>63</v>
      </c>
      <c r="C45" s="11" t="s">
        <v>118</v>
      </c>
      <c r="D45" s="14" t="s">
        <v>92</v>
      </c>
      <c r="E45" s="8" t="s">
        <v>186</v>
      </c>
      <c r="F45" s="8" t="s">
        <v>186</v>
      </c>
      <c r="G45" s="17">
        <v>309</v>
      </c>
      <c r="H45" s="18">
        <v>263</v>
      </c>
      <c r="I45" s="17">
        <v>865</v>
      </c>
      <c r="J45" s="18">
        <v>604</v>
      </c>
      <c r="K45" s="17">
        <v>902</v>
      </c>
      <c r="L45" s="18">
        <v>653</v>
      </c>
      <c r="M45" s="17">
        <v>769</v>
      </c>
      <c r="N45" s="18">
        <v>680</v>
      </c>
      <c r="O45" s="17">
        <v>808</v>
      </c>
      <c r="P45" s="18">
        <v>1243</v>
      </c>
      <c r="Q45" s="17">
        <v>511</v>
      </c>
      <c r="R45" s="18">
        <v>881</v>
      </c>
      <c r="S45" s="17">
        <v>399</v>
      </c>
      <c r="T45" s="18">
        <v>685</v>
      </c>
      <c r="U45" s="17">
        <v>603</v>
      </c>
      <c r="V45" s="18">
        <v>425</v>
      </c>
      <c r="W45" s="17">
        <v>465</v>
      </c>
      <c r="X45" s="18">
        <v>473</v>
      </c>
      <c r="Y45" s="17">
        <v>289</v>
      </c>
      <c r="Z45" s="18">
        <v>353</v>
      </c>
      <c r="AA45" s="17">
        <v>442</v>
      </c>
      <c r="AB45" s="18">
        <v>638</v>
      </c>
      <c r="AC45" s="17">
        <v>497</v>
      </c>
      <c r="AD45" s="18">
        <v>349</v>
      </c>
      <c r="AE45" s="17">
        <v>422</v>
      </c>
      <c r="AF45" s="18">
        <v>596</v>
      </c>
      <c r="AG45" s="17">
        <v>523</v>
      </c>
      <c r="AH45" s="18">
        <v>637</v>
      </c>
      <c r="AI45" s="17">
        <v>377</v>
      </c>
      <c r="AJ45" s="18">
        <v>329</v>
      </c>
      <c r="AK45" s="26">
        <f t="shared" si="8"/>
        <v>8181</v>
      </c>
      <c r="AL45" s="27">
        <f t="shared" si="9"/>
        <v>8809</v>
      </c>
      <c r="AM45" s="28">
        <f t="shared" si="6"/>
        <v>545.4</v>
      </c>
      <c r="AN45" s="29">
        <f t="shared" si="7"/>
        <v>587.26666666666665</v>
      </c>
      <c r="AO45" s="26">
        <f t="shared" si="10"/>
        <v>902</v>
      </c>
      <c r="AP45" s="27">
        <f t="shared" si="11"/>
        <v>1243</v>
      </c>
      <c r="AQ45" s="26">
        <f t="shared" si="12"/>
        <v>193.11647607942035</v>
      </c>
      <c r="AR45" s="27">
        <f t="shared" si="13"/>
        <v>240.42059442198837</v>
      </c>
    </row>
    <row r="46" spans="1:44" s="12" customFormat="1" ht="12.75" x14ac:dyDescent="0.25">
      <c r="A46" s="11" t="s">
        <v>47</v>
      </c>
      <c r="B46" s="13" t="s">
        <v>63</v>
      </c>
      <c r="C46" s="11" t="s">
        <v>118</v>
      </c>
      <c r="D46" s="13" t="s">
        <v>66</v>
      </c>
      <c r="E46" s="7" t="s">
        <v>67</v>
      </c>
      <c r="F46" s="7" t="s">
        <v>183</v>
      </c>
      <c r="G46" s="35">
        <f>3054/11</f>
        <v>277.63636363636363</v>
      </c>
      <c r="H46" s="36">
        <f>9348/11</f>
        <v>849.81818181818187</v>
      </c>
      <c r="I46" s="35">
        <f>3054/11</f>
        <v>277.63636363636363</v>
      </c>
      <c r="J46" s="36">
        <f>9348/11</f>
        <v>849.81818181818187</v>
      </c>
      <c r="K46" s="35">
        <f>3054/11</f>
        <v>277.63636363636363</v>
      </c>
      <c r="L46" s="36">
        <f>9348/11</f>
        <v>849.81818181818187</v>
      </c>
      <c r="M46" s="35">
        <f>3054/11</f>
        <v>277.63636363636363</v>
      </c>
      <c r="N46" s="36">
        <f>9348/11</f>
        <v>849.81818181818187</v>
      </c>
      <c r="O46" s="35">
        <f>3054/11</f>
        <v>277.63636363636363</v>
      </c>
      <c r="P46" s="36">
        <f>9348/11</f>
        <v>849.81818181818187</v>
      </c>
      <c r="Q46" s="35">
        <f>3054/11</f>
        <v>277.63636363636363</v>
      </c>
      <c r="R46" s="36">
        <f>9348/11</f>
        <v>849.81818181818187</v>
      </c>
      <c r="S46" s="35">
        <f>3054/11</f>
        <v>277.63636363636363</v>
      </c>
      <c r="T46" s="36">
        <f>9348/11</f>
        <v>849.81818181818187</v>
      </c>
      <c r="U46" s="35"/>
      <c r="V46" s="36"/>
      <c r="W46" s="35"/>
      <c r="X46" s="36"/>
      <c r="Y46" s="35">
        <v>3290</v>
      </c>
      <c r="Z46" s="36">
        <v>10016</v>
      </c>
      <c r="AA46" s="35"/>
      <c r="AB46" s="36"/>
      <c r="AC46" s="35"/>
      <c r="AD46" s="36"/>
      <c r="AE46" s="35"/>
      <c r="AF46" s="36"/>
      <c r="AG46" s="35"/>
      <c r="AH46" s="36"/>
      <c r="AI46" s="35">
        <v>0</v>
      </c>
      <c r="AJ46" s="36">
        <v>0</v>
      </c>
      <c r="AK46" s="26">
        <f t="shared" si="8"/>
        <v>5233.454545454545</v>
      </c>
      <c r="AL46" s="27">
        <f t="shared" si="9"/>
        <v>15964.727272727272</v>
      </c>
      <c r="AM46" s="28">
        <f t="shared" si="6"/>
        <v>348.89696969696968</v>
      </c>
      <c r="AN46" s="29">
        <f t="shared" si="7"/>
        <v>1064.3151515151515</v>
      </c>
      <c r="AO46" s="26">
        <f t="shared" si="10"/>
        <v>3290</v>
      </c>
      <c r="AP46" s="27">
        <f t="shared" si="11"/>
        <v>10016</v>
      </c>
      <c r="AQ46" s="26">
        <f t="shared" si="12"/>
        <v>961.5061256116976</v>
      </c>
      <c r="AR46" s="27">
        <f t="shared" si="13"/>
        <v>2926.0596191128079</v>
      </c>
    </row>
    <row r="47" spans="1:44" ht="12.75" x14ac:dyDescent="0.25">
      <c r="A47" s="11" t="s">
        <v>4</v>
      </c>
      <c r="B47" s="13" t="s">
        <v>65</v>
      </c>
      <c r="C47" s="11" t="s">
        <v>118</v>
      </c>
      <c r="D47" s="13" t="s">
        <v>66</v>
      </c>
      <c r="E47" s="7" t="s">
        <v>67</v>
      </c>
      <c r="F47" s="7" t="s">
        <v>183</v>
      </c>
      <c r="G47" s="17">
        <v>3772</v>
      </c>
      <c r="H47" s="18"/>
      <c r="I47" s="17">
        <v>2630</v>
      </c>
      <c r="J47" s="18"/>
      <c r="K47" s="17">
        <v>4115</v>
      </c>
      <c r="L47" s="18"/>
      <c r="M47" s="17">
        <v>1996</v>
      </c>
      <c r="N47" s="18"/>
      <c r="O47" s="17">
        <v>2424</v>
      </c>
      <c r="P47" s="18"/>
      <c r="Q47" s="17">
        <v>2198</v>
      </c>
      <c r="R47" s="18"/>
      <c r="S47" s="17">
        <v>1739</v>
      </c>
      <c r="T47" s="18"/>
      <c r="U47" s="17">
        <v>1718</v>
      </c>
      <c r="V47" s="18"/>
      <c r="W47" s="17">
        <v>3979</v>
      </c>
      <c r="X47" s="18"/>
      <c r="Y47" s="17">
        <v>1372</v>
      </c>
      <c r="Z47" s="18"/>
      <c r="AA47" s="17">
        <v>9778</v>
      </c>
      <c r="AB47" s="18"/>
      <c r="AC47" s="17">
        <v>7248</v>
      </c>
      <c r="AD47" s="18"/>
      <c r="AE47" s="17">
        <v>1451</v>
      </c>
      <c r="AF47" s="18"/>
      <c r="AG47" s="17">
        <v>1172</v>
      </c>
      <c r="AH47" s="18"/>
      <c r="AI47" s="17">
        <v>1468</v>
      </c>
      <c r="AJ47" s="18">
        <v>0</v>
      </c>
      <c r="AK47" s="26">
        <f t="shared" si="8"/>
        <v>47060</v>
      </c>
      <c r="AL47" s="27">
        <f t="shared" si="9"/>
        <v>0</v>
      </c>
      <c r="AM47" s="28">
        <f t="shared" si="6"/>
        <v>3137.3333333333335</v>
      </c>
      <c r="AN47" s="29">
        <f t="shared" si="7"/>
        <v>0</v>
      </c>
      <c r="AO47" s="26">
        <f t="shared" si="10"/>
        <v>9778</v>
      </c>
      <c r="AP47" s="27">
        <f t="shared" si="11"/>
        <v>0</v>
      </c>
      <c r="AQ47" s="26">
        <f t="shared" si="12"/>
        <v>2346.5359622691108</v>
      </c>
      <c r="AR47" s="27">
        <f t="shared" si="13"/>
        <v>0</v>
      </c>
    </row>
    <row r="48" spans="1:44" ht="12.75" x14ac:dyDescent="0.25">
      <c r="A48" s="9" t="s">
        <v>7</v>
      </c>
      <c r="B48" s="13" t="s">
        <v>65</v>
      </c>
      <c r="C48" s="11" t="s">
        <v>118</v>
      </c>
      <c r="D48" s="13" t="s">
        <v>82</v>
      </c>
      <c r="E48" s="7" t="s">
        <v>184</v>
      </c>
      <c r="F48" s="7" t="s">
        <v>184</v>
      </c>
      <c r="G48" s="17">
        <v>333</v>
      </c>
      <c r="H48" s="18"/>
      <c r="I48" s="17">
        <v>201</v>
      </c>
      <c r="J48" s="18"/>
      <c r="K48" s="17">
        <v>399</v>
      </c>
      <c r="L48" s="18"/>
      <c r="M48" s="17">
        <v>216</v>
      </c>
      <c r="N48" s="18"/>
      <c r="O48" s="17">
        <v>243</v>
      </c>
      <c r="P48" s="18"/>
      <c r="Q48" s="17">
        <v>371</v>
      </c>
      <c r="R48" s="18"/>
      <c r="S48" s="17">
        <v>150</v>
      </c>
      <c r="T48" s="18"/>
      <c r="U48" s="17">
        <v>320</v>
      </c>
      <c r="V48" s="18"/>
      <c r="W48" s="17">
        <v>45</v>
      </c>
      <c r="X48" s="18"/>
      <c r="Y48" s="17"/>
      <c r="Z48" s="18"/>
      <c r="AA48" s="17">
        <v>0</v>
      </c>
      <c r="AB48" s="18"/>
      <c r="AC48" s="17"/>
      <c r="AD48" s="18"/>
      <c r="AE48" s="17"/>
      <c r="AF48" s="18"/>
      <c r="AG48" s="17"/>
      <c r="AH48" s="18"/>
      <c r="AI48" s="17">
        <v>0</v>
      </c>
      <c r="AJ48" s="18">
        <v>0</v>
      </c>
      <c r="AK48" s="26">
        <f t="shared" si="8"/>
        <v>2278</v>
      </c>
      <c r="AL48" s="27">
        <f t="shared" si="9"/>
        <v>0</v>
      </c>
      <c r="AM48" s="28">
        <f t="shared" si="6"/>
        <v>151.86666666666667</v>
      </c>
      <c r="AN48" s="29">
        <f t="shared" si="7"/>
        <v>0</v>
      </c>
      <c r="AO48" s="26">
        <f t="shared" si="10"/>
        <v>399</v>
      </c>
      <c r="AP48" s="27">
        <f t="shared" si="11"/>
        <v>0</v>
      </c>
      <c r="AQ48" s="26">
        <f t="shared" si="12"/>
        <v>137.84342536862385</v>
      </c>
      <c r="AR48" s="27">
        <f t="shared" si="13"/>
        <v>0</v>
      </c>
    </row>
    <row r="49" spans="1:44" ht="12.75" x14ac:dyDescent="0.25">
      <c r="A49" s="9" t="s">
        <v>11</v>
      </c>
      <c r="B49" s="13" t="s">
        <v>65</v>
      </c>
      <c r="C49" s="11" t="s">
        <v>118</v>
      </c>
      <c r="D49" s="13" t="s">
        <v>69</v>
      </c>
      <c r="E49" s="7" t="s">
        <v>182</v>
      </c>
      <c r="F49" s="7" t="s">
        <v>182</v>
      </c>
      <c r="G49" s="17">
        <v>442</v>
      </c>
      <c r="H49" s="18"/>
      <c r="I49" s="17">
        <v>368</v>
      </c>
      <c r="J49" s="18"/>
      <c r="K49" s="17">
        <v>206</v>
      </c>
      <c r="L49" s="18"/>
      <c r="M49" s="17">
        <v>549</v>
      </c>
      <c r="N49" s="18"/>
      <c r="O49" s="17">
        <v>207</v>
      </c>
      <c r="P49" s="18"/>
      <c r="Q49" s="17">
        <v>197</v>
      </c>
      <c r="R49" s="18"/>
      <c r="S49" s="17">
        <v>573</v>
      </c>
      <c r="T49" s="18"/>
      <c r="U49" s="17">
        <v>470</v>
      </c>
      <c r="V49" s="18"/>
      <c r="W49" s="17">
        <v>311</v>
      </c>
      <c r="X49" s="18"/>
      <c r="Y49" s="17">
        <v>332</v>
      </c>
      <c r="Z49" s="18"/>
      <c r="AA49" s="17">
        <v>403</v>
      </c>
      <c r="AB49" s="18"/>
      <c r="AC49" s="17">
        <v>237</v>
      </c>
      <c r="AD49" s="18"/>
      <c r="AE49" s="17">
        <v>384</v>
      </c>
      <c r="AF49" s="18"/>
      <c r="AG49" s="17">
        <v>420</v>
      </c>
      <c r="AH49" s="18"/>
      <c r="AI49" s="17">
        <v>421</v>
      </c>
      <c r="AJ49" s="18">
        <v>0</v>
      </c>
      <c r="AK49" s="26">
        <f t="shared" si="8"/>
        <v>5520</v>
      </c>
      <c r="AL49" s="27">
        <f t="shared" si="9"/>
        <v>0</v>
      </c>
      <c r="AM49" s="28">
        <f t="shared" si="6"/>
        <v>368</v>
      </c>
      <c r="AN49" s="29">
        <f t="shared" si="7"/>
        <v>0</v>
      </c>
      <c r="AO49" s="26">
        <f t="shared" si="10"/>
        <v>573</v>
      </c>
      <c r="AP49" s="27">
        <f t="shared" si="11"/>
        <v>0</v>
      </c>
      <c r="AQ49" s="26">
        <f t="shared" si="12"/>
        <v>115.69269639869233</v>
      </c>
      <c r="AR49" s="27">
        <f t="shared" si="13"/>
        <v>0</v>
      </c>
    </row>
    <row r="50" spans="1:44" ht="12.75" x14ac:dyDescent="0.25">
      <c r="A50" s="9" t="s">
        <v>32</v>
      </c>
      <c r="B50" s="14" t="s">
        <v>63</v>
      </c>
      <c r="C50" s="11" t="s">
        <v>118</v>
      </c>
      <c r="D50" s="14" t="s">
        <v>84</v>
      </c>
      <c r="E50" s="8" t="s">
        <v>67</v>
      </c>
      <c r="F50" s="8" t="s">
        <v>85</v>
      </c>
      <c r="G50" s="17">
        <v>387</v>
      </c>
      <c r="H50" s="18">
        <v>433</v>
      </c>
      <c r="I50" s="17">
        <v>171</v>
      </c>
      <c r="J50" s="18">
        <v>426</v>
      </c>
      <c r="K50" s="17">
        <v>144</v>
      </c>
      <c r="L50" s="18">
        <v>678</v>
      </c>
      <c r="M50" s="17">
        <v>161</v>
      </c>
      <c r="N50" s="18">
        <v>575</v>
      </c>
      <c r="O50" s="17">
        <v>189</v>
      </c>
      <c r="P50" s="18">
        <v>1069</v>
      </c>
      <c r="Q50" s="17">
        <v>270</v>
      </c>
      <c r="R50" s="18">
        <v>1027</v>
      </c>
      <c r="S50" s="17">
        <v>78</v>
      </c>
      <c r="T50" s="18">
        <v>528</v>
      </c>
      <c r="U50" s="17">
        <v>85</v>
      </c>
      <c r="V50" s="18">
        <v>128</v>
      </c>
      <c r="W50" s="17">
        <v>12</v>
      </c>
      <c r="X50" s="18">
        <v>1</v>
      </c>
      <c r="Y50" s="17">
        <v>72</v>
      </c>
      <c r="Z50" s="18">
        <v>151</v>
      </c>
      <c r="AA50" s="17">
        <v>59</v>
      </c>
      <c r="AB50" s="18">
        <v>116</v>
      </c>
      <c r="AC50" s="17">
        <v>174</v>
      </c>
      <c r="AD50" s="18">
        <v>145</v>
      </c>
      <c r="AE50" s="17">
        <v>139</v>
      </c>
      <c r="AF50" s="18">
        <v>218</v>
      </c>
      <c r="AG50" s="17">
        <v>109</v>
      </c>
      <c r="AH50" s="18">
        <v>528</v>
      </c>
      <c r="AI50" s="17">
        <v>71</v>
      </c>
      <c r="AJ50" s="18">
        <v>333</v>
      </c>
      <c r="AK50" s="26">
        <f t="shared" si="8"/>
        <v>2121</v>
      </c>
      <c r="AL50" s="27">
        <f t="shared" si="9"/>
        <v>6356</v>
      </c>
      <c r="AM50" s="28">
        <f t="shared" si="6"/>
        <v>141.4</v>
      </c>
      <c r="AN50" s="29">
        <f t="shared" si="7"/>
        <v>423.73333333333335</v>
      </c>
      <c r="AO50" s="26">
        <f t="shared" si="10"/>
        <v>387</v>
      </c>
      <c r="AP50" s="27">
        <f t="shared" si="11"/>
        <v>1069</v>
      </c>
      <c r="AQ50" s="26">
        <f t="shared" si="12"/>
        <v>90.559593638664268</v>
      </c>
      <c r="AR50" s="27">
        <f t="shared" si="13"/>
        <v>311.25155242807847</v>
      </c>
    </row>
    <row r="51" spans="1:44" ht="12.75" x14ac:dyDescent="0.25">
      <c r="A51" s="9" t="s">
        <v>17</v>
      </c>
      <c r="B51" s="13" t="s">
        <v>65</v>
      </c>
      <c r="C51" s="11" t="s">
        <v>121</v>
      </c>
      <c r="D51" s="13" t="s">
        <v>144</v>
      </c>
      <c r="E51" s="7" t="s">
        <v>111</v>
      </c>
      <c r="F51" s="7" t="s">
        <v>191</v>
      </c>
      <c r="G51" s="17">
        <v>974</v>
      </c>
      <c r="H51" s="18"/>
      <c r="I51" s="17">
        <v>556</v>
      </c>
      <c r="J51" s="18"/>
      <c r="K51" s="17">
        <v>844</v>
      </c>
      <c r="L51" s="18"/>
      <c r="M51" s="17">
        <v>1224</v>
      </c>
      <c r="N51" s="18"/>
      <c r="O51" s="17">
        <v>662</v>
      </c>
      <c r="P51" s="18"/>
      <c r="Q51" s="17">
        <v>274</v>
      </c>
      <c r="R51" s="18"/>
      <c r="S51" s="17">
        <v>610</v>
      </c>
      <c r="T51" s="18"/>
      <c r="U51" s="17">
        <v>996</v>
      </c>
      <c r="V51" s="18"/>
      <c r="W51" s="17">
        <v>527</v>
      </c>
      <c r="X51" s="18"/>
      <c r="Y51" s="17">
        <v>294</v>
      </c>
      <c r="Z51" s="18"/>
      <c r="AA51" s="17">
        <v>745</v>
      </c>
      <c r="AB51" s="18"/>
      <c r="AC51" s="17">
        <v>386</v>
      </c>
      <c r="AD51" s="18"/>
      <c r="AE51" s="17">
        <v>499</v>
      </c>
      <c r="AF51" s="18"/>
      <c r="AG51" s="17"/>
      <c r="AH51" s="18"/>
      <c r="AI51" s="17">
        <v>0</v>
      </c>
      <c r="AJ51" s="18">
        <v>0</v>
      </c>
      <c r="AK51" s="26">
        <f t="shared" si="8"/>
        <v>8591</v>
      </c>
      <c r="AL51" s="27">
        <f t="shared" si="9"/>
        <v>0</v>
      </c>
      <c r="AM51" s="28">
        <f t="shared" si="6"/>
        <v>572.73333333333335</v>
      </c>
      <c r="AN51" s="29">
        <f t="shared" si="7"/>
        <v>0</v>
      </c>
      <c r="AO51" s="26">
        <f t="shared" si="10"/>
        <v>1224</v>
      </c>
      <c r="AP51" s="27">
        <f t="shared" si="11"/>
        <v>0</v>
      </c>
      <c r="AQ51" s="26">
        <f t="shared" si="12"/>
        <v>315.22568041299672</v>
      </c>
      <c r="AR51" s="27">
        <f t="shared" si="13"/>
        <v>0</v>
      </c>
    </row>
    <row r="52" spans="1:44" ht="12.75" x14ac:dyDescent="0.25">
      <c r="A52" s="9" t="s">
        <v>37</v>
      </c>
      <c r="B52" s="13" t="s">
        <v>63</v>
      </c>
      <c r="C52" s="11" t="s">
        <v>121</v>
      </c>
      <c r="D52" s="13" t="s">
        <v>89</v>
      </c>
      <c r="E52" s="7" t="s">
        <v>67</v>
      </c>
      <c r="F52" s="7" t="s">
        <v>89</v>
      </c>
      <c r="G52" s="17">
        <v>29</v>
      </c>
      <c r="H52" s="18">
        <v>56</v>
      </c>
      <c r="I52" s="17"/>
      <c r="J52" s="18">
        <v>47</v>
      </c>
      <c r="K52" s="17">
        <v>1</v>
      </c>
      <c r="L52" s="18">
        <v>2</v>
      </c>
      <c r="M52" s="17">
        <v>30</v>
      </c>
      <c r="N52" s="18">
        <v>329</v>
      </c>
      <c r="O52" s="17">
        <v>10</v>
      </c>
      <c r="P52" s="18">
        <v>5</v>
      </c>
      <c r="Q52" s="17">
        <v>18</v>
      </c>
      <c r="R52" s="18">
        <v>101</v>
      </c>
      <c r="S52" s="17">
        <v>10</v>
      </c>
      <c r="T52" s="18">
        <v>20</v>
      </c>
      <c r="U52" s="17">
        <v>5</v>
      </c>
      <c r="V52" s="18">
        <v>10</v>
      </c>
      <c r="W52" s="17">
        <v>3</v>
      </c>
      <c r="X52" s="18">
        <v>260</v>
      </c>
      <c r="Y52" s="17">
        <v>1</v>
      </c>
      <c r="Z52" s="18">
        <v>3</v>
      </c>
      <c r="AA52" s="17">
        <v>2</v>
      </c>
      <c r="AB52" s="18">
        <v>435</v>
      </c>
      <c r="AC52" s="17">
        <v>8</v>
      </c>
      <c r="AD52" s="18">
        <v>6</v>
      </c>
      <c r="AE52" s="17">
        <v>5</v>
      </c>
      <c r="AF52" s="18">
        <v>84</v>
      </c>
      <c r="AG52" s="17">
        <v>14</v>
      </c>
      <c r="AH52" s="18">
        <v>81</v>
      </c>
      <c r="AI52" s="17">
        <v>29</v>
      </c>
      <c r="AJ52" s="18">
        <v>178</v>
      </c>
      <c r="AK52" s="26">
        <f t="shared" si="8"/>
        <v>165</v>
      </c>
      <c r="AL52" s="27">
        <f t="shared" si="9"/>
        <v>1617</v>
      </c>
      <c r="AM52" s="28">
        <f t="shared" si="6"/>
        <v>11</v>
      </c>
      <c r="AN52" s="29">
        <f t="shared" si="7"/>
        <v>107.8</v>
      </c>
      <c r="AO52" s="26">
        <f t="shared" si="10"/>
        <v>30</v>
      </c>
      <c r="AP52" s="27">
        <f t="shared" si="11"/>
        <v>435</v>
      </c>
      <c r="AQ52" s="26">
        <f t="shared" si="12"/>
        <v>10.303803537865946</v>
      </c>
      <c r="AR52" s="27">
        <f t="shared" si="13"/>
        <v>129.65965705132288</v>
      </c>
    </row>
    <row r="53" spans="1:44" ht="12.75" x14ac:dyDescent="0.25">
      <c r="A53" s="9" t="s">
        <v>46</v>
      </c>
      <c r="B53" s="13" t="s">
        <v>63</v>
      </c>
      <c r="C53" s="11" t="s">
        <v>121</v>
      </c>
      <c r="D53" s="13" t="s">
        <v>80</v>
      </c>
      <c r="E53" s="7" t="s">
        <v>71</v>
      </c>
      <c r="F53" s="7" t="s">
        <v>191</v>
      </c>
      <c r="G53" s="17"/>
      <c r="H53" s="18"/>
      <c r="I53" s="17">
        <v>2128</v>
      </c>
      <c r="J53" s="18">
        <v>1253</v>
      </c>
      <c r="K53" s="17">
        <v>940</v>
      </c>
      <c r="L53" s="18">
        <v>1434</v>
      </c>
      <c r="M53" s="17">
        <v>1075</v>
      </c>
      <c r="N53" s="18">
        <v>1046</v>
      </c>
      <c r="O53" s="17">
        <v>1094</v>
      </c>
      <c r="P53" s="18">
        <v>682</v>
      </c>
      <c r="Q53" s="17">
        <v>538</v>
      </c>
      <c r="R53" s="18">
        <v>635</v>
      </c>
      <c r="S53" s="17">
        <v>354</v>
      </c>
      <c r="T53" s="18">
        <v>655</v>
      </c>
      <c r="U53" s="17">
        <v>810</v>
      </c>
      <c r="V53" s="18">
        <v>1114</v>
      </c>
      <c r="W53" s="17">
        <v>977</v>
      </c>
      <c r="X53" s="18">
        <v>870</v>
      </c>
      <c r="Y53" s="17">
        <v>492</v>
      </c>
      <c r="Z53" s="18">
        <v>1008</v>
      </c>
      <c r="AA53" s="17">
        <v>842</v>
      </c>
      <c r="AB53" s="18">
        <v>682</v>
      </c>
      <c r="AC53" s="17">
        <v>448</v>
      </c>
      <c r="AD53" s="18">
        <v>280</v>
      </c>
      <c r="AE53" s="17">
        <v>511</v>
      </c>
      <c r="AF53" s="18">
        <v>495</v>
      </c>
      <c r="AG53" s="17">
        <v>333</v>
      </c>
      <c r="AH53" s="18">
        <v>530</v>
      </c>
      <c r="AI53" s="17">
        <v>1086</v>
      </c>
      <c r="AJ53" s="18">
        <v>1260</v>
      </c>
      <c r="AK53" s="26">
        <f t="shared" si="8"/>
        <v>11628</v>
      </c>
      <c r="AL53" s="27">
        <f t="shared" si="9"/>
        <v>11944</v>
      </c>
      <c r="AM53" s="28">
        <f t="shared" si="6"/>
        <v>775.2</v>
      </c>
      <c r="AN53" s="29">
        <f t="shared" si="7"/>
        <v>796.26666666666665</v>
      </c>
      <c r="AO53" s="26">
        <f t="shared" si="10"/>
        <v>2128</v>
      </c>
      <c r="AP53" s="27">
        <f t="shared" si="11"/>
        <v>1434</v>
      </c>
      <c r="AQ53" s="26">
        <f t="shared" si="12"/>
        <v>450.00693872201481</v>
      </c>
      <c r="AR53" s="27">
        <f t="shared" si="13"/>
        <v>327.20960017850882</v>
      </c>
    </row>
    <row r="54" spans="1:44" ht="12.75" x14ac:dyDescent="0.25">
      <c r="A54" s="9" t="s">
        <v>25</v>
      </c>
      <c r="B54" s="13" t="s">
        <v>65</v>
      </c>
      <c r="C54" s="11" t="s">
        <v>121</v>
      </c>
      <c r="D54" s="13" t="s">
        <v>80</v>
      </c>
      <c r="E54" s="7" t="s">
        <v>71</v>
      </c>
      <c r="F54" s="7" t="s">
        <v>191</v>
      </c>
      <c r="G54" s="17"/>
      <c r="H54" s="18"/>
      <c r="I54" s="17">
        <v>108</v>
      </c>
      <c r="J54" s="18"/>
      <c r="K54" s="17">
        <v>159</v>
      </c>
      <c r="L54" s="18"/>
      <c r="M54" s="17">
        <v>327</v>
      </c>
      <c r="N54" s="18"/>
      <c r="O54" s="17">
        <v>426</v>
      </c>
      <c r="P54" s="18"/>
      <c r="Q54" s="17">
        <v>286</v>
      </c>
      <c r="R54" s="18"/>
      <c r="S54" s="17">
        <v>207</v>
      </c>
      <c r="T54" s="18"/>
      <c r="U54" s="17">
        <v>200</v>
      </c>
      <c r="V54" s="18"/>
      <c r="W54" s="17">
        <v>577</v>
      </c>
      <c r="X54" s="18"/>
      <c r="Y54" s="17">
        <v>66</v>
      </c>
      <c r="Z54" s="18"/>
      <c r="AA54" s="17">
        <v>98</v>
      </c>
      <c r="AB54" s="18"/>
      <c r="AC54" s="17">
        <v>145</v>
      </c>
      <c r="AD54" s="18"/>
      <c r="AE54" s="17">
        <v>34</v>
      </c>
      <c r="AF54" s="18"/>
      <c r="AG54" s="17">
        <v>313</v>
      </c>
      <c r="AH54" s="18"/>
      <c r="AI54" s="17">
        <v>862</v>
      </c>
      <c r="AJ54" s="18">
        <v>0</v>
      </c>
      <c r="AK54" s="26">
        <f t="shared" si="8"/>
        <v>3808</v>
      </c>
      <c r="AL54" s="27">
        <f t="shared" si="9"/>
        <v>0</v>
      </c>
      <c r="AM54" s="28">
        <f t="shared" si="6"/>
        <v>253.86666666666667</v>
      </c>
      <c r="AN54" s="29">
        <f t="shared" si="7"/>
        <v>0</v>
      </c>
      <c r="AO54" s="26">
        <f t="shared" si="10"/>
        <v>862</v>
      </c>
      <c r="AP54" s="27">
        <f t="shared" si="11"/>
        <v>0</v>
      </c>
      <c r="AQ54" s="26">
        <f t="shared" si="12"/>
        <v>217.83053701706484</v>
      </c>
      <c r="AR54" s="27">
        <f t="shared" si="13"/>
        <v>0</v>
      </c>
    </row>
    <row r="55" spans="1:44" ht="12.75" x14ac:dyDescent="0.25">
      <c r="A55" s="9" t="s">
        <v>27</v>
      </c>
      <c r="B55" s="13" t="s">
        <v>65</v>
      </c>
      <c r="C55" s="11" t="s">
        <v>121</v>
      </c>
      <c r="D55" s="13" t="s">
        <v>81</v>
      </c>
      <c r="E55" s="7" t="s">
        <v>71</v>
      </c>
      <c r="F55" s="7" t="s">
        <v>71</v>
      </c>
      <c r="G55" s="17">
        <v>735</v>
      </c>
      <c r="H55" s="18"/>
      <c r="I55" s="17">
        <v>770</v>
      </c>
      <c r="J55" s="18"/>
      <c r="K55" s="17">
        <v>489</v>
      </c>
      <c r="L55" s="18"/>
      <c r="M55" s="17">
        <v>422</v>
      </c>
      <c r="N55" s="18"/>
      <c r="O55" s="17">
        <v>803</v>
      </c>
      <c r="P55" s="18"/>
      <c r="Q55" s="17">
        <v>792</v>
      </c>
      <c r="R55" s="18"/>
      <c r="S55" s="17">
        <v>440</v>
      </c>
      <c r="T55" s="18"/>
      <c r="U55" s="17">
        <v>764</v>
      </c>
      <c r="V55" s="18"/>
      <c r="W55" s="17">
        <v>70</v>
      </c>
      <c r="X55" s="18"/>
      <c r="Y55" s="17">
        <v>445</v>
      </c>
      <c r="Z55" s="18"/>
      <c r="AA55" s="17">
        <v>355</v>
      </c>
      <c r="AB55" s="18"/>
      <c r="AC55" s="17">
        <v>263</v>
      </c>
      <c r="AD55" s="18"/>
      <c r="AE55" s="17">
        <v>408</v>
      </c>
      <c r="AF55" s="18"/>
      <c r="AG55" s="17">
        <v>717</v>
      </c>
      <c r="AH55" s="18"/>
      <c r="AI55" s="17">
        <v>808</v>
      </c>
      <c r="AJ55" s="18">
        <v>0</v>
      </c>
      <c r="AK55" s="26">
        <f t="shared" si="8"/>
        <v>8281</v>
      </c>
      <c r="AL55" s="27">
        <f t="shared" si="9"/>
        <v>0</v>
      </c>
      <c r="AM55" s="28">
        <f t="shared" si="6"/>
        <v>552.06666666666672</v>
      </c>
      <c r="AN55" s="29">
        <f t="shared" si="7"/>
        <v>0</v>
      </c>
      <c r="AO55" s="26">
        <f t="shared" si="10"/>
        <v>808</v>
      </c>
      <c r="AP55" s="27">
        <f t="shared" si="11"/>
        <v>0</v>
      </c>
      <c r="AQ55" s="26">
        <f t="shared" si="12"/>
        <v>225.02902528834414</v>
      </c>
      <c r="AR55" s="27">
        <f t="shared" si="13"/>
        <v>0</v>
      </c>
    </row>
    <row r="56" spans="1:44" ht="12.75" x14ac:dyDescent="0.25">
      <c r="A56" s="9" t="s">
        <v>12</v>
      </c>
      <c r="B56" s="14" t="s">
        <v>65</v>
      </c>
      <c r="C56" s="11" t="s">
        <v>121</v>
      </c>
      <c r="D56" s="14" t="s">
        <v>70</v>
      </c>
      <c r="E56" s="8" t="s">
        <v>71</v>
      </c>
      <c r="F56" s="8" t="s">
        <v>192</v>
      </c>
      <c r="G56" s="17">
        <v>86</v>
      </c>
      <c r="H56" s="18"/>
      <c r="I56" s="17">
        <v>37</v>
      </c>
      <c r="J56" s="18"/>
      <c r="K56" s="17">
        <v>64</v>
      </c>
      <c r="L56" s="18"/>
      <c r="M56" s="17">
        <v>15</v>
      </c>
      <c r="N56" s="18"/>
      <c r="O56" s="17">
        <v>239</v>
      </c>
      <c r="P56" s="18"/>
      <c r="Q56" s="17">
        <v>135</v>
      </c>
      <c r="R56" s="18"/>
      <c r="S56" s="17">
        <v>78</v>
      </c>
      <c r="T56" s="18"/>
      <c r="U56" s="17"/>
      <c r="V56" s="18"/>
      <c r="W56" s="17"/>
      <c r="X56" s="18"/>
      <c r="Y56" s="17"/>
      <c r="Z56" s="18"/>
      <c r="AA56" s="17"/>
      <c r="AB56" s="18"/>
      <c r="AC56" s="17">
        <v>26</v>
      </c>
      <c r="AD56" s="18"/>
      <c r="AE56" s="17">
        <v>183</v>
      </c>
      <c r="AF56" s="18"/>
      <c r="AG56" s="17">
        <v>344</v>
      </c>
      <c r="AH56" s="18"/>
      <c r="AI56" s="17">
        <v>355</v>
      </c>
      <c r="AJ56" s="18">
        <v>0</v>
      </c>
      <c r="AK56" s="26">
        <f t="shared" si="8"/>
        <v>1562</v>
      </c>
      <c r="AL56" s="27">
        <f t="shared" si="9"/>
        <v>0</v>
      </c>
      <c r="AM56" s="28">
        <f>AK56/15</f>
        <v>104.13333333333334</v>
      </c>
      <c r="AN56" s="29">
        <f t="shared" si="7"/>
        <v>0</v>
      </c>
      <c r="AO56" s="26">
        <f t="shared" si="10"/>
        <v>355</v>
      </c>
      <c r="AP56" s="27">
        <f t="shared" si="11"/>
        <v>0</v>
      </c>
      <c r="AQ56" s="26">
        <f t="shared" si="12"/>
        <v>117.25574225132469</v>
      </c>
      <c r="AR56" s="27">
        <f t="shared" si="13"/>
        <v>0</v>
      </c>
    </row>
    <row r="57" spans="1:44" ht="12.75" x14ac:dyDescent="0.25">
      <c r="A57" s="52" t="s">
        <v>180</v>
      </c>
      <c r="B57" s="53" t="s">
        <v>65</v>
      </c>
      <c r="C57" s="54" t="s">
        <v>121</v>
      </c>
      <c r="D57" s="53" t="s">
        <v>391</v>
      </c>
      <c r="E57" s="55" t="s">
        <v>71</v>
      </c>
      <c r="F57" s="55" t="s">
        <v>71</v>
      </c>
      <c r="G57" s="17"/>
      <c r="H57" s="18"/>
      <c r="I57" s="17"/>
      <c r="J57" s="18"/>
      <c r="K57" s="17"/>
      <c r="L57" s="18"/>
      <c r="M57" s="17"/>
      <c r="N57" s="18"/>
      <c r="O57" s="17"/>
      <c r="P57" s="18"/>
      <c r="Q57" s="17"/>
      <c r="R57" s="18"/>
      <c r="S57" s="17"/>
      <c r="T57" s="18"/>
      <c r="U57" s="17">
        <v>1236</v>
      </c>
      <c r="V57" s="18"/>
      <c r="W57" s="17">
        <v>869</v>
      </c>
      <c r="X57" s="18"/>
      <c r="Y57" s="17">
        <v>1529</v>
      </c>
      <c r="Z57" s="18"/>
      <c r="AA57" s="17">
        <v>1343</v>
      </c>
      <c r="AB57" s="18"/>
      <c r="AC57" s="17">
        <v>504</v>
      </c>
      <c r="AD57" s="18"/>
      <c r="AE57" s="17">
        <v>473</v>
      </c>
      <c r="AF57" s="18"/>
      <c r="AG57" s="17">
        <v>527</v>
      </c>
      <c r="AH57" s="18"/>
      <c r="AI57" s="17">
        <v>708</v>
      </c>
      <c r="AJ57" s="18">
        <v>0</v>
      </c>
      <c r="AK57" s="26">
        <f t="shared" si="8"/>
        <v>7189</v>
      </c>
      <c r="AL57" s="27">
        <f t="shared" si="9"/>
        <v>0</v>
      </c>
      <c r="AM57" s="28">
        <f t="shared" si="6"/>
        <v>479.26666666666665</v>
      </c>
      <c r="AN57" s="29">
        <f t="shared" si="7"/>
        <v>0</v>
      </c>
      <c r="AO57" s="26">
        <f t="shared" si="10"/>
        <v>1529</v>
      </c>
      <c r="AP57" s="27">
        <f t="shared" si="11"/>
        <v>0</v>
      </c>
      <c r="AQ57" s="26">
        <f t="shared" si="12"/>
        <v>390.65167908892954</v>
      </c>
      <c r="AR57" s="27">
        <f t="shared" si="13"/>
        <v>0</v>
      </c>
    </row>
    <row r="58" spans="1:44" ht="12.75" x14ac:dyDescent="0.25">
      <c r="A58" s="9" t="s">
        <v>44</v>
      </c>
      <c r="B58" s="13" t="s">
        <v>63</v>
      </c>
      <c r="C58" s="11" t="s">
        <v>121</v>
      </c>
      <c r="D58" s="13" t="s">
        <v>93</v>
      </c>
      <c r="E58" s="7" t="s">
        <v>111</v>
      </c>
      <c r="F58" s="7" t="s">
        <v>192</v>
      </c>
      <c r="G58" s="17">
        <v>431</v>
      </c>
      <c r="H58" s="18">
        <v>695</v>
      </c>
      <c r="I58" s="17">
        <v>539</v>
      </c>
      <c r="J58" s="18">
        <v>699</v>
      </c>
      <c r="K58" s="17">
        <v>1440</v>
      </c>
      <c r="L58" s="18">
        <v>1659</v>
      </c>
      <c r="M58" s="17">
        <v>1325</v>
      </c>
      <c r="N58" s="18">
        <v>1835</v>
      </c>
      <c r="O58" s="17">
        <v>1191</v>
      </c>
      <c r="P58" s="18">
        <v>2111</v>
      </c>
      <c r="Q58" s="17">
        <v>1577</v>
      </c>
      <c r="R58" s="18">
        <v>1725</v>
      </c>
      <c r="S58" s="17">
        <v>1320</v>
      </c>
      <c r="T58" s="18">
        <v>2208</v>
      </c>
      <c r="U58" s="17">
        <v>1835</v>
      </c>
      <c r="V58" s="18">
        <v>1859</v>
      </c>
      <c r="W58" s="17">
        <v>1555</v>
      </c>
      <c r="X58" s="18">
        <v>1206</v>
      </c>
      <c r="Y58" s="17">
        <v>2101</v>
      </c>
      <c r="Z58" s="18">
        <v>2259</v>
      </c>
      <c r="AA58" s="17">
        <v>1964</v>
      </c>
      <c r="AB58" s="18">
        <v>1619</v>
      </c>
      <c r="AC58" s="17">
        <v>887</v>
      </c>
      <c r="AD58" s="18">
        <v>1351</v>
      </c>
      <c r="AE58" s="17">
        <v>1310</v>
      </c>
      <c r="AF58" s="18">
        <v>3924</v>
      </c>
      <c r="AG58" s="17">
        <v>2205</v>
      </c>
      <c r="AH58" s="18">
        <v>2170</v>
      </c>
      <c r="AI58" s="17">
        <v>1851</v>
      </c>
      <c r="AJ58" s="18">
        <v>2642</v>
      </c>
      <c r="AK58" s="26">
        <f t="shared" si="8"/>
        <v>21531</v>
      </c>
      <c r="AL58" s="27">
        <f t="shared" si="9"/>
        <v>27962</v>
      </c>
      <c r="AM58" s="28">
        <f t="shared" si="6"/>
        <v>1435.4</v>
      </c>
      <c r="AN58" s="29">
        <f t="shared" si="7"/>
        <v>1864.1333333333334</v>
      </c>
      <c r="AO58" s="26">
        <f t="shared" si="10"/>
        <v>2205</v>
      </c>
      <c r="AP58" s="27">
        <f t="shared" si="11"/>
        <v>3924</v>
      </c>
      <c r="AQ58" s="26">
        <f t="shared" si="12"/>
        <v>509.61172147691684</v>
      </c>
      <c r="AR58" s="27">
        <f t="shared" si="13"/>
        <v>766.81356853467901</v>
      </c>
    </row>
    <row r="59" spans="1:44" ht="12.75" x14ac:dyDescent="0.25">
      <c r="A59" s="9" t="s">
        <v>20</v>
      </c>
      <c r="B59" s="14" t="s">
        <v>65</v>
      </c>
      <c r="C59" s="11" t="s">
        <v>121</v>
      </c>
      <c r="D59" s="14" t="s">
        <v>76</v>
      </c>
      <c r="E59" s="8" t="s">
        <v>111</v>
      </c>
      <c r="F59" s="8" t="s">
        <v>192</v>
      </c>
      <c r="G59" s="17"/>
      <c r="H59" s="18"/>
      <c r="I59" s="17"/>
      <c r="J59" s="18"/>
      <c r="K59" s="17"/>
      <c r="L59" s="18"/>
      <c r="M59" s="17"/>
      <c r="N59" s="18"/>
      <c r="O59" s="17"/>
      <c r="P59" s="18"/>
      <c r="Q59" s="17">
        <v>117</v>
      </c>
      <c r="R59" s="18"/>
      <c r="S59" s="17">
        <v>43</v>
      </c>
      <c r="T59" s="18"/>
      <c r="U59" s="17">
        <v>47</v>
      </c>
      <c r="V59" s="18"/>
      <c r="W59" s="17">
        <v>111</v>
      </c>
      <c r="X59" s="18"/>
      <c r="Y59" s="17">
        <v>48</v>
      </c>
      <c r="Z59" s="18"/>
      <c r="AA59" s="17">
        <v>14</v>
      </c>
      <c r="AB59" s="18"/>
      <c r="AC59" s="17">
        <v>8</v>
      </c>
      <c r="AD59" s="18"/>
      <c r="AE59" s="17">
        <v>9</v>
      </c>
      <c r="AF59" s="18"/>
      <c r="AG59" s="17">
        <v>1</v>
      </c>
      <c r="AH59" s="18"/>
      <c r="AI59" s="17">
        <v>0</v>
      </c>
      <c r="AJ59" s="18">
        <v>0</v>
      </c>
      <c r="AK59" s="26">
        <f t="shared" si="8"/>
        <v>398</v>
      </c>
      <c r="AL59" s="27">
        <f t="shared" si="9"/>
        <v>0</v>
      </c>
      <c r="AM59" s="28">
        <f t="shared" si="6"/>
        <v>26.533333333333335</v>
      </c>
      <c r="AN59" s="29">
        <f>AL59/15</f>
        <v>0</v>
      </c>
      <c r="AO59" s="26">
        <f t="shared" si="10"/>
        <v>117</v>
      </c>
      <c r="AP59" s="27">
        <f t="shared" si="11"/>
        <v>0</v>
      </c>
      <c r="AQ59" s="26">
        <f t="shared" si="12"/>
        <v>41.077487751808775</v>
      </c>
      <c r="AR59" s="27">
        <f t="shared" si="13"/>
        <v>0</v>
      </c>
    </row>
    <row r="60" spans="1:44" ht="12.75" x14ac:dyDescent="0.25">
      <c r="A60" s="9" t="s">
        <v>26</v>
      </c>
      <c r="B60" s="14" t="s">
        <v>65</v>
      </c>
      <c r="C60" s="11" t="s">
        <v>127</v>
      </c>
      <c r="D60" s="14" t="s">
        <v>143</v>
      </c>
      <c r="E60" s="8" t="s">
        <v>64</v>
      </c>
      <c r="F60" s="8" t="s">
        <v>191</v>
      </c>
      <c r="G60" s="17">
        <v>933</v>
      </c>
      <c r="H60" s="18"/>
      <c r="I60" s="17">
        <v>1237</v>
      </c>
      <c r="J60" s="18"/>
      <c r="K60" s="17">
        <v>1496</v>
      </c>
      <c r="L60" s="18"/>
      <c r="M60" s="17">
        <v>1415</v>
      </c>
      <c r="N60" s="18"/>
      <c r="O60" s="17">
        <v>1384</v>
      </c>
      <c r="P60" s="18"/>
      <c r="Q60" s="17">
        <v>1110</v>
      </c>
      <c r="R60" s="18"/>
      <c r="S60" s="17">
        <v>1289</v>
      </c>
      <c r="T60" s="18"/>
      <c r="U60" s="17">
        <v>1442</v>
      </c>
      <c r="V60" s="18"/>
      <c r="W60" s="17">
        <v>1141</v>
      </c>
      <c r="X60" s="18"/>
      <c r="Y60" s="17">
        <v>1257</v>
      </c>
      <c r="Z60" s="18"/>
      <c r="AA60" s="17">
        <v>1062</v>
      </c>
      <c r="AB60" s="18"/>
      <c r="AC60" s="17">
        <v>1474</v>
      </c>
      <c r="AD60" s="18"/>
      <c r="AE60" s="17">
        <v>1406</v>
      </c>
      <c r="AF60" s="18"/>
      <c r="AG60" s="17">
        <v>929</v>
      </c>
      <c r="AH60" s="18"/>
      <c r="AI60" s="17">
        <v>1367</v>
      </c>
      <c r="AJ60" s="18">
        <v>0</v>
      </c>
      <c r="AK60" s="26">
        <f t="shared" si="8"/>
        <v>18942</v>
      </c>
      <c r="AL60" s="27">
        <f t="shared" si="9"/>
        <v>0</v>
      </c>
      <c r="AM60" s="28">
        <f t="shared" si="6"/>
        <v>1262.8</v>
      </c>
      <c r="AN60" s="29">
        <f t="shared" si="7"/>
        <v>0</v>
      </c>
      <c r="AO60" s="26">
        <f t="shared" si="10"/>
        <v>1496</v>
      </c>
      <c r="AP60" s="27">
        <f t="shared" si="11"/>
        <v>0</v>
      </c>
      <c r="AQ60" s="26">
        <f t="shared" si="12"/>
        <v>182.64690890714064</v>
      </c>
      <c r="AR60" s="27">
        <f t="shared" si="13"/>
        <v>0</v>
      </c>
    </row>
    <row r="61" spans="1:44" ht="12.75" x14ac:dyDescent="0.25">
      <c r="A61" s="9" t="s">
        <v>14</v>
      </c>
      <c r="B61" s="14" t="s">
        <v>65</v>
      </c>
      <c r="C61" s="11" t="s">
        <v>72</v>
      </c>
      <c r="D61" s="14" t="s">
        <v>72</v>
      </c>
      <c r="E61" s="8" t="s">
        <v>64</v>
      </c>
      <c r="F61" s="8" t="s">
        <v>191</v>
      </c>
      <c r="G61" s="17">
        <v>2459</v>
      </c>
      <c r="H61" s="18"/>
      <c r="I61" s="17">
        <v>2674</v>
      </c>
      <c r="J61" s="18"/>
      <c r="K61" s="17">
        <v>2770</v>
      </c>
      <c r="L61" s="18"/>
      <c r="M61" s="17">
        <v>2453</v>
      </c>
      <c r="N61" s="18"/>
      <c r="O61" s="17">
        <v>2423</v>
      </c>
      <c r="P61" s="18"/>
      <c r="Q61" s="17">
        <v>2327</v>
      </c>
      <c r="R61" s="18"/>
      <c r="S61" s="17">
        <v>2471</v>
      </c>
      <c r="T61" s="18"/>
      <c r="U61" s="17">
        <v>2092</v>
      </c>
      <c r="V61" s="18"/>
      <c r="W61" s="17">
        <v>2161</v>
      </c>
      <c r="X61" s="18"/>
      <c r="Y61" s="17">
        <v>2373</v>
      </c>
      <c r="Z61" s="18"/>
      <c r="AA61" s="17">
        <v>2207</v>
      </c>
      <c r="AB61" s="18"/>
      <c r="AC61" s="17">
        <v>2085</v>
      </c>
      <c r="AD61" s="18"/>
      <c r="AE61" s="17">
        <v>3085</v>
      </c>
      <c r="AF61" s="18"/>
      <c r="AG61" s="17">
        <v>1830</v>
      </c>
      <c r="AH61" s="18"/>
      <c r="AI61" s="17">
        <v>2108</v>
      </c>
      <c r="AJ61" s="18">
        <v>0</v>
      </c>
      <c r="AK61" s="26">
        <f t="shared" si="8"/>
        <v>35518</v>
      </c>
      <c r="AL61" s="27">
        <f t="shared" si="9"/>
        <v>0</v>
      </c>
      <c r="AM61" s="28">
        <f t="shared" si="6"/>
        <v>2367.8666666666668</v>
      </c>
      <c r="AN61" s="29">
        <f t="shared" si="7"/>
        <v>0</v>
      </c>
      <c r="AO61" s="26">
        <f t="shared" si="10"/>
        <v>3085</v>
      </c>
      <c r="AP61" s="27">
        <f t="shared" si="11"/>
        <v>0</v>
      </c>
      <c r="AQ61" s="26">
        <f t="shared" si="12"/>
        <v>303.56259468005754</v>
      </c>
      <c r="AR61" s="27">
        <f t="shared" si="13"/>
        <v>0</v>
      </c>
    </row>
    <row r="62" spans="1:44" ht="12.75" x14ac:dyDescent="0.25">
      <c r="A62" s="56" t="s">
        <v>316</v>
      </c>
      <c r="B62" s="53"/>
      <c r="C62" s="54"/>
      <c r="D62" s="53"/>
      <c r="E62" s="55"/>
      <c r="F62" s="55"/>
      <c r="G62" s="17"/>
      <c r="H62" s="18"/>
      <c r="I62" s="17"/>
      <c r="J62" s="18"/>
      <c r="K62" s="17"/>
      <c r="L62" s="18"/>
      <c r="M62" s="17"/>
      <c r="N62" s="18"/>
      <c r="O62" s="17"/>
      <c r="P62" s="18"/>
      <c r="Q62" s="17"/>
      <c r="R62" s="18"/>
      <c r="S62" s="17"/>
      <c r="T62" s="18"/>
      <c r="U62" s="17"/>
      <c r="V62" s="18"/>
      <c r="W62" s="17"/>
      <c r="X62" s="18"/>
      <c r="Y62" s="17"/>
      <c r="Z62" s="18"/>
      <c r="AA62" s="17"/>
      <c r="AB62" s="18"/>
      <c r="AC62" s="17"/>
      <c r="AD62" s="18"/>
      <c r="AE62" s="17"/>
      <c r="AF62" s="18"/>
      <c r="AG62" s="17"/>
      <c r="AH62" s="18"/>
      <c r="AI62" s="17">
        <v>0</v>
      </c>
      <c r="AJ62" s="18">
        <v>0</v>
      </c>
      <c r="AK62" s="26">
        <f t="shared" si="8"/>
        <v>0</v>
      </c>
      <c r="AL62" s="27">
        <f t="shared" si="9"/>
        <v>0</v>
      </c>
      <c r="AM62" s="28">
        <f t="shared" si="6"/>
        <v>0</v>
      </c>
      <c r="AN62" s="29">
        <f t="shared" si="7"/>
        <v>0</v>
      </c>
      <c r="AO62" s="26">
        <f t="shared" si="10"/>
        <v>0</v>
      </c>
      <c r="AP62" s="27">
        <f t="shared" si="11"/>
        <v>0</v>
      </c>
      <c r="AQ62" s="26">
        <f t="shared" si="12"/>
        <v>0</v>
      </c>
      <c r="AR62" s="27">
        <f t="shared" si="13"/>
        <v>0</v>
      </c>
    </row>
    <row r="63" spans="1:44" ht="12.75" x14ac:dyDescent="0.25">
      <c r="A63" s="56" t="s">
        <v>317</v>
      </c>
      <c r="B63" s="53"/>
      <c r="C63" s="54"/>
      <c r="D63" s="53"/>
      <c r="E63" s="55"/>
      <c r="F63" s="55"/>
      <c r="G63" s="17"/>
      <c r="H63" s="18"/>
      <c r="I63" s="17"/>
      <c r="J63" s="18"/>
      <c r="K63" s="17"/>
      <c r="L63" s="18"/>
      <c r="M63" s="17"/>
      <c r="N63" s="18"/>
      <c r="O63" s="17"/>
      <c r="P63" s="18"/>
      <c r="Q63" s="17"/>
      <c r="R63" s="18"/>
      <c r="S63" s="17"/>
      <c r="T63" s="18"/>
      <c r="U63" s="17"/>
      <c r="V63" s="18"/>
      <c r="W63" s="17"/>
      <c r="X63" s="18"/>
      <c r="Y63" s="17"/>
      <c r="Z63" s="18"/>
      <c r="AA63" s="17"/>
      <c r="AB63" s="18"/>
      <c r="AC63" s="17"/>
      <c r="AD63" s="18"/>
      <c r="AE63" s="17"/>
      <c r="AF63" s="18"/>
      <c r="AG63" s="17"/>
      <c r="AH63" s="18"/>
      <c r="AI63" s="17">
        <v>0</v>
      </c>
      <c r="AJ63" s="18">
        <v>0</v>
      </c>
      <c r="AK63" s="26">
        <f t="shared" si="8"/>
        <v>0</v>
      </c>
      <c r="AL63" s="27">
        <f t="shared" si="9"/>
        <v>0</v>
      </c>
      <c r="AM63" s="28">
        <f t="shared" si="6"/>
        <v>0</v>
      </c>
      <c r="AN63" s="29">
        <f t="shared" si="7"/>
        <v>0</v>
      </c>
      <c r="AO63" s="26">
        <f t="shared" si="10"/>
        <v>0</v>
      </c>
      <c r="AP63" s="27">
        <f t="shared" si="11"/>
        <v>0</v>
      </c>
      <c r="AQ63" s="26">
        <f t="shared" si="12"/>
        <v>0</v>
      </c>
      <c r="AR63" s="27">
        <f t="shared" si="13"/>
        <v>0</v>
      </c>
    </row>
    <row r="64" spans="1:44" ht="12.75" x14ac:dyDescent="0.25">
      <c r="A64" s="56" t="s">
        <v>318</v>
      </c>
      <c r="B64" s="53"/>
      <c r="C64" s="54"/>
      <c r="D64" s="53"/>
      <c r="E64" s="55"/>
      <c r="F64" s="55"/>
      <c r="G64" s="17"/>
      <c r="H64" s="18"/>
      <c r="I64" s="17"/>
      <c r="J64" s="18"/>
      <c r="K64" s="17"/>
      <c r="L64" s="18"/>
      <c r="M64" s="17"/>
      <c r="N64" s="18"/>
      <c r="O64" s="17"/>
      <c r="P64" s="18"/>
      <c r="Q64" s="17"/>
      <c r="R64" s="18"/>
      <c r="S64" s="17"/>
      <c r="T64" s="18"/>
      <c r="U64" s="17"/>
      <c r="V64" s="18"/>
      <c r="W64" s="17"/>
      <c r="X64" s="18"/>
      <c r="Y64" s="17"/>
      <c r="Z64" s="18"/>
      <c r="AA64" s="17"/>
      <c r="AB64" s="18"/>
      <c r="AC64" s="17"/>
      <c r="AD64" s="18"/>
      <c r="AE64" s="17"/>
      <c r="AF64" s="18"/>
      <c r="AG64" s="17"/>
      <c r="AH64" s="18"/>
      <c r="AI64" s="17">
        <v>0</v>
      </c>
      <c r="AJ64" s="18">
        <v>0</v>
      </c>
      <c r="AK64" s="26">
        <f t="shared" si="8"/>
        <v>0</v>
      </c>
      <c r="AL64" s="27">
        <f t="shared" si="9"/>
        <v>0</v>
      </c>
      <c r="AM64" s="28">
        <f t="shared" si="6"/>
        <v>0</v>
      </c>
      <c r="AN64" s="29">
        <f t="shared" si="7"/>
        <v>0</v>
      </c>
      <c r="AO64" s="26">
        <f t="shared" si="10"/>
        <v>0</v>
      </c>
      <c r="AP64" s="27">
        <f t="shared" si="11"/>
        <v>0</v>
      </c>
      <c r="AQ64" s="26">
        <f t="shared" si="12"/>
        <v>0</v>
      </c>
      <c r="AR64" s="27">
        <f t="shared" si="13"/>
        <v>0</v>
      </c>
    </row>
    <row r="65" spans="1:53" ht="12.75" x14ac:dyDescent="0.25">
      <c r="A65" s="56" t="s">
        <v>319</v>
      </c>
      <c r="B65" s="53"/>
      <c r="C65" s="54"/>
      <c r="D65" s="53"/>
      <c r="E65" s="55"/>
      <c r="F65" s="55"/>
      <c r="G65" s="17"/>
      <c r="H65" s="18"/>
      <c r="I65" s="17"/>
      <c r="J65" s="18"/>
      <c r="K65" s="17"/>
      <c r="L65" s="18"/>
      <c r="M65" s="17"/>
      <c r="N65" s="18"/>
      <c r="O65" s="17"/>
      <c r="P65" s="18"/>
      <c r="Q65" s="17"/>
      <c r="R65" s="18"/>
      <c r="S65" s="17"/>
      <c r="T65" s="18"/>
      <c r="U65" s="17"/>
      <c r="V65" s="18"/>
      <c r="W65" s="17"/>
      <c r="X65" s="18"/>
      <c r="Y65" s="17"/>
      <c r="Z65" s="18"/>
      <c r="AA65" s="17"/>
      <c r="AB65" s="18"/>
      <c r="AC65" s="17"/>
      <c r="AD65" s="18"/>
      <c r="AE65" s="17"/>
      <c r="AF65" s="18"/>
      <c r="AG65" s="17"/>
      <c r="AH65" s="18"/>
      <c r="AI65" s="17">
        <v>0</v>
      </c>
      <c r="AJ65" s="18">
        <v>0</v>
      </c>
      <c r="AK65" s="26">
        <f t="shared" si="8"/>
        <v>0</v>
      </c>
      <c r="AL65" s="27">
        <f t="shared" si="9"/>
        <v>0</v>
      </c>
      <c r="AM65" s="28">
        <f t="shared" si="6"/>
        <v>0</v>
      </c>
      <c r="AN65" s="29">
        <f t="shared" si="7"/>
        <v>0</v>
      </c>
      <c r="AO65" s="26">
        <f t="shared" si="10"/>
        <v>0</v>
      </c>
      <c r="AP65" s="27">
        <f t="shared" si="11"/>
        <v>0</v>
      </c>
      <c r="AQ65" s="26">
        <f t="shared" si="12"/>
        <v>0</v>
      </c>
      <c r="AR65" s="27">
        <f t="shared" si="13"/>
        <v>0</v>
      </c>
    </row>
    <row r="66" spans="1:53" ht="12.75" x14ac:dyDescent="0.25">
      <c r="A66" s="56" t="s">
        <v>176</v>
      </c>
      <c r="B66" s="53"/>
      <c r="C66" s="54"/>
      <c r="D66" s="53"/>
      <c r="E66" s="55"/>
      <c r="F66" s="55"/>
      <c r="G66" s="17"/>
      <c r="H66" s="18"/>
      <c r="I66" s="17"/>
      <c r="J66" s="18"/>
      <c r="K66" s="17"/>
      <c r="L66" s="18"/>
      <c r="M66" s="17"/>
      <c r="N66" s="18"/>
      <c r="O66" s="17"/>
      <c r="P66" s="18"/>
      <c r="Q66" s="17"/>
      <c r="R66" s="18"/>
      <c r="S66" s="17"/>
      <c r="T66" s="18"/>
      <c r="U66" s="17"/>
      <c r="V66" s="18"/>
      <c r="W66" s="17"/>
      <c r="X66" s="18"/>
      <c r="Y66" s="17"/>
      <c r="Z66" s="18"/>
      <c r="AA66" s="17"/>
      <c r="AB66" s="18"/>
      <c r="AC66" s="17"/>
      <c r="AD66" s="18"/>
      <c r="AE66" s="17"/>
      <c r="AF66" s="18"/>
      <c r="AG66" s="17"/>
      <c r="AH66" s="18"/>
      <c r="AI66" s="17">
        <v>0</v>
      </c>
      <c r="AJ66" s="18">
        <v>0</v>
      </c>
      <c r="AK66" s="26">
        <f t="shared" si="8"/>
        <v>0</v>
      </c>
      <c r="AL66" s="27">
        <f t="shared" si="9"/>
        <v>0</v>
      </c>
      <c r="AM66" s="28">
        <f t="shared" si="6"/>
        <v>0</v>
      </c>
      <c r="AN66" s="29">
        <f t="shared" si="7"/>
        <v>0</v>
      </c>
      <c r="AO66" s="26">
        <f t="shared" si="10"/>
        <v>0</v>
      </c>
      <c r="AP66" s="27">
        <f t="shared" si="11"/>
        <v>0</v>
      </c>
      <c r="AQ66" s="26">
        <f t="shared" si="12"/>
        <v>0</v>
      </c>
      <c r="AR66" s="27">
        <f t="shared" si="13"/>
        <v>0</v>
      </c>
    </row>
    <row r="67" spans="1:53" ht="12.75" x14ac:dyDescent="0.25">
      <c r="A67" s="56" t="s">
        <v>320</v>
      </c>
      <c r="B67" s="53"/>
      <c r="C67" s="54"/>
      <c r="D67" s="53"/>
      <c r="E67" s="55"/>
      <c r="F67" s="55"/>
      <c r="G67" s="17"/>
      <c r="H67" s="18"/>
      <c r="I67" s="17"/>
      <c r="J67" s="18"/>
      <c r="K67" s="17"/>
      <c r="L67" s="18"/>
      <c r="M67" s="17"/>
      <c r="N67" s="18"/>
      <c r="O67" s="17"/>
      <c r="P67" s="18"/>
      <c r="Q67" s="17"/>
      <c r="R67" s="18"/>
      <c r="S67" s="17"/>
      <c r="T67" s="18"/>
      <c r="U67" s="17"/>
      <c r="V67" s="18"/>
      <c r="W67" s="17"/>
      <c r="X67" s="18"/>
      <c r="Y67" s="17"/>
      <c r="Z67" s="18"/>
      <c r="AA67" s="17"/>
      <c r="AB67" s="18"/>
      <c r="AC67" s="17"/>
      <c r="AD67" s="18"/>
      <c r="AE67" s="17"/>
      <c r="AF67" s="18"/>
      <c r="AG67" s="17"/>
      <c r="AH67" s="18"/>
      <c r="AI67" s="17">
        <v>0</v>
      </c>
      <c r="AJ67" s="18">
        <v>0</v>
      </c>
      <c r="AK67" s="26">
        <f t="shared" si="8"/>
        <v>0</v>
      </c>
      <c r="AL67" s="27">
        <f t="shared" si="9"/>
        <v>0</v>
      </c>
      <c r="AM67" s="28">
        <f t="shared" si="6"/>
        <v>0</v>
      </c>
      <c r="AN67" s="29">
        <f t="shared" si="7"/>
        <v>0</v>
      </c>
      <c r="AO67" s="26">
        <f t="shared" si="10"/>
        <v>0</v>
      </c>
      <c r="AP67" s="27">
        <f t="shared" si="11"/>
        <v>0</v>
      </c>
      <c r="AQ67" s="26">
        <f t="shared" si="12"/>
        <v>0</v>
      </c>
      <c r="AR67" s="27">
        <f t="shared" si="13"/>
        <v>0</v>
      </c>
    </row>
    <row r="68" spans="1:53" s="23" customFormat="1" ht="12.75" x14ac:dyDescent="0.25">
      <c r="A68" s="207" t="s">
        <v>125</v>
      </c>
      <c r="B68" s="208"/>
      <c r="C68" s="208"/>
      <c r="D68" s="208"/>
      <c r="E68" s="208"/>
      <c r="F68" s="209"/>
      <c r="G68" s="25">
        <f t="shared" ref="G68:AH68" si="14">SUM(G7:G61)</f>
        <v>39253.386363636368</v>
      </c>
      <c r="H68" s="24">
        <f t="shared" si="14"/>
        <v>17414.630681818184</v>
      </c>
      <c r="I68" s="25">
        <f t="shared" si="14"/>
        <v>53762.38636363636</v>
      </c>
      <c r="J68" s="24">
        <f t="shared" si="14"/>
        <v>29501.63068181818</v>
      </c>
      <c r="K68" s="25">
        <f t="shared" si="14"/>
        <v>48673.38636363636</v>
      </c>
      <c r="L68" s="24">
        <f t="shared" si="14"/>
        <v>25316.63068181818</v>
      </c>
      <c r="M68" s="25">
        <f t="shared" si="14"/>
        <v>41090.386363636368</v>
      </c>
      <c r="N68" s="24">
        <f t="shared" si="14"/>
        <v>21383.63068181818</v>
      </c>
      <c r="O68" s="25">
        <f t="shared" si="14"/>
        <v>41734.386363636368</v>
      </c>
      <c r="P68" s="24">
        <f t="shared" si="14"/>
        <v>24729.63068181818</v>
      </c>
      <c r="Q68" s="25">
        <f t="shared" si="14"/>
        <v>38052.636363636368</v>
      </c>
      <c r="R68" s="24">
        <f t="shared" si="14"/>
        <v>18691.818181818184</v>
      </c>
      <c r="S68" s="25">
        <f t="shared" si="14"/>
        <v>35162.636363636368</v>
      </c>
      <c r="T68" s="24">
        <f t="shared" si="14"/>
        <v>18484.818181818184</v>
      </c>
      <c r="U68" s="25">
        <f t="shared" si="14"/>
        <v>43143</v>
      </c>
      <c r="V68" s="24">
        <f t="shared" si="14"/>
        <v>22247</v>
      </c>
      <c r="W68" s="25">
        <f t="shared" si="14"/>
        <v>42968</v>
      </c>
      <c r="X68" s="24">
        <f t="shared" si="14"/>
        <v>17288</v>
      </c>
      <c r="Y68" s="25">
        <f t="shared" si="14"/>
        <v>40185</v>
      </c>
      <c r="Z68" s="24">
        <f t="shared" si="14"/>
        <v>26792</v>
      </c>
      <c r="AA68" s="25">
        <f t="shared" si="14"/>
        <v>45196</v>
      </c>
      <c r="AB68" s="24">
        <f t="shared" si="14"/>
        <v>19352</v>
      </c>
      <c r="AC68" s="25">
        <f t="shared" si="14"/>
        <v>35574</v>
      </c>
      <c r="AD68" s="24">
        <f t="shared" si="14"/>
        <v>15293</v>
      </c>
      <c r="AE68" s="25">
        <f t="shared" si="14"/>
        <v>31776</v>
      </c>
      <c r="AF68" s="24">
        <f t="shared" si="14"/>
        <v>20693</v>
      </c>
      <c r="AG68" s="25">
        <f t="shared" si="14"/>
        <v>34115</v>
      </c>
      <c r="AH68" s="24">
        <f t="shared" si="14"/>
        <v>17177</v>
      </c>
      <c r="AI68" s="25">
        <f>SUM(AI7:AI67)</f>
        <v>38409</v>
      </c>
      <c r="AJ68" s="24">
        <f>SUM(AJ7:AJ67)</f>
        <v>21589</v>
      </c>
      <c r="AK68" s="25">
        <f>SUM(AK7:AK67)</f>
        <v>609095.20454545459</v>
      </c>
      <c r="AL68" s="24">
        <f>SUM(AL7:AL67)</f>
        <v>315953.78977272729</v>
      </c>
      <c r="AM68" s="25">
        <f>AK68/15</f>
        <v>40606.34696969697</v>
      </c>
      <c r="AN68" s="24">
        <f>AL68/15</f>
        <v>21063.585984848487</v>
      </c>
      <c r="AO68" s="57">
        <f t="shared" si="10"/>
        <v>53762.38636363636</v>
      </c>
      <c r="AP68" s="58">
        <f t="shared" si="11"/>
        <v>29501.63068181818</v>
      </c>
      <c r="AQ68" s="57">
        <f t="shared" si="12"/>
        <v>5544.79404008859</v>
      </c>
      <c r="AR68" s="58">
        <f t="shared" si="13"/>
        <v>3904.1847598532659</v>
      </c>
    </row>
    <row r="69" spans="1:53" x14ac:dyDescent="0.25">
      <c r="O69" s="19"/>
      <c r="P69" s="19"/>
      <c r="Q69" s="19"/>
      <c r="R69" s="19"/>
      <c r="AK69" s="22"/>
      <c r="AL69" s="22"/>
      <c r="AM69" s="22"/>
      <c r="AN69" s="22"/>
      <c r="AO69" s="22"/>
      <c r="AP69" s="22"/>
      <c r="AQ69" s="22"/>
      <c r="AR69" s="22"/>
    </row>
    <row r="70" spans="1:53" ht="12.75" x14ac:dyDescent="0.25">
      <c r="A70" s="9" t="s">
        <v>1</v>
      </c>
      <c r="B70" s="8" t="s">
        <v>134</v>
      </c>
      <c r="C70" s="11" t="s">
        <v>127</v>
      </c>
      <c r="D70" s="14" t="s">
        <v>204</v>
      </c>
      <c r="E70" s="8" t="s">
        <v>112</v>
      </c>
      <c r="F70" s="8" t="s">
        <v>123</v>
      </c>
      <c r="G70" s="17">
        <v>71</v>
      </c>
      <c r="H70" s="18">
        <v>145</v>
      </c>
      <c r="I70" s="17">
        <v>14</v>
      </c>
      <c r="J70" s="18">
        <v>10</v>
      </c>
      <c r="K70" s="17">
        <v>16</v>
      </c>
      <c r="L70" s="18">
        <v>101</v>
      </c>
      <c r="M70" s="17">
        <v>15</v>
      </c>
      <c r="N70" s="18">
        <v>40</v>
      </c>
      <c r="O70" s="17">
        <v>31</v>
      </c>
      <c r="P70" s="18">
        <v>99</v>
      </c>
      <c r="Q70" s="17">
        <v>25</v>
      </c>
      <c r="R70" s="18">
        <v>47</v>
      </c>
      <c r="S70" s="17">
        <v>26</v>
      </c>
      <c r="T70" s="18">
        <v>33</v>
      </c>
      <c r="U70" s="17">
        <v>14</v>
      </c>
      <c r="V70" s="18">
        <v>52</v>
      </c>
      <c r="W70" s="17">
        <v>2</v>
      </c>
      <c r="X70" s="18">
        <v>14</v>
      </c>
      <c r="Y70" s="17">
        <v>9</v>
      </c>
      <c r="Z70" s="18">
        <v>36</v>
      </c>
      <c r="AA70" s="17">
        <v>60</v>
      </c>
      <c r="AB70" s="18">
        <v>71</v>
      </c>
      <c r="AC70" s="17">
        <v>26</v>
      </c>
      <c r="AD70" s="18">
        <v>89</v>
      </c>
      <c r="AE70" s="17">
        <v>41</v>
      </c>
      <c r="AF70" s="18">
        <v>115</v>
      </c>
      <c r="AG70" s="17">
        <v>39</v>
      </c>
      <c r="AH70" s="18">
        <v>65</v>
      </c>
      <c r="AI70" s="17">
        <v>8</v>
      </c>
      <c r="AJ70" s="18">
        <v>32</v>
      </c>
      <c r="AK70" s="26">
        <f>SUM(G70,I70,K70,M70,O70,Q70,S70,U70,W70,Y70,AA70,AC70,AE70,AG70,AI70)</f>
        <v>397</v>
      </c>
      <c r="AL70" s="27">
        <f>SUM(H70,J70,L70,N70,P70,R70,T70,V70,X70,Z70,AB70,AD70,AF70,AH70,AJ70)</f>
        <v>949</v>
      </c>
      <c r="AM70" s="28">
        <f t="shared" ref="AM70" si="15">AK70/15</f>
        <v>26.466666666666665</v>
      </c>
      <c r="AN70" s="29">
        <f t="shared" ref="AN70" si="16">AL70/15</f>
        <v>63.266666666666666</v>
      </c>
      <c r="AO70" s="26">
        <f>MAX(G70,I70,K70,M70,O70,Q70,S70,U70,W70,Y70,AA70,AC70,AE70,AG70,AI70)</f>
        <v>71</v>
      </c>
      <c r="AP70" s="27">
        <f>MAX(H70,J70,L70,N70,P70,R70,T70,V70,X70,Z70,AB70,AD70,AF70,AH70,AJ70)</f>
        <v>145</v>
      </c>
      <c r="AQ70" s="26">
        <f>IFERROR(STDEVP(G70,I70,K70,M70,O70,Q70,S70,U70,W70,Y70,AA70,AC70,AE70,AG70,AI70),"")</f>
        <v>18.789595229511701</v>
      </c>
      <c r="AR70" s="27">
        <f>IFERROR(STDEVP(H70,J70,L70,N70,P70,R70,T70,V70,X70,Z70,AB70,AD70,AF70,AH70,AJ70),"")</f>
        <v>37.962203425102828</v>
      </c>
    </row>
    <row r="71" spans="1:53" s="23" customFormat="1" ht="12.75" x14ac:dyDescent="0.25">
      <c r="A71" s="207" t="s">
        <v>126</v>
      </c>
      <c r="B71" s="208"/>
      <c r="C71" s="208"/>
      <c r="D71" s="208"/>
      <c r="E71" s="208"/>
      <c r="F71" s="209"/>
      <c r="G71" s="25">
        <f t="shared" ref="G71" si="17">SUM(G70)</f>
        <v>71</v>
      </c>
      <c r="H71" s="24">
        <f t="shared" ref="H71:O71" si="18">SUM(H70)</f>
        <v>145</v>
      </c>
      <c r="I71" s="25">
        <f t="shared" si="18"/>
        <v>14</v>
      </c>
      <c r="J71" s="24">
        <f t="shared" si="18"/>
        <v>10</v>
      </c>
      <c r="K71" s="25">
        <f t="shared" si="18"/>
        <v>16</v>
      </c>
      <c r="L71" s="24">
        <f t="shared" si="18"/>
        <v>101</v>
      </c>
      <c r="M71" s="25">
        <f t="shared" si="18"/>
        <v>15</v>
      </c>
      <c r="N71" s="24">
        <f t="shared" si="18"/>
        <v>40</v>
      </c>
      <c r="O71" s="25">
        <f t="shared" si="18"/>
        <v>31</v>
      </c>
      <c r="P71" s="24">
        <f>SUM(P70)</f>
        <v>99</v>
      </c>
      <c r="Q71" s="25">
        <f>SUM(Q70)</f>
        <v>25</v>
      </c>
      <c r="R71" s="24">
        <f>SUM(R70)</f>
        <v>47</v>
      </c>
      <c r="S71" s="25">
        <f>SUM(S70)</f>
        <v>26</v>
      </c>
      <c r="T71" s="24">
        <f t="shared" ref="T71:AH71" si="19">SUM(T70)</f>
        <v>33</v>
      </c>
      <c r="U71" s="25">
        <f t="shared" si="19"/>
        <v>14</v>
      </c>
      <c r="V71" s="24">
        <f t="shared" si="19"/>
        <v>52</v>
      </c>
      <c r="W71" s="25">
        <f t="shared" si="19"/>
        <v>2</v>
      </c>
      <c r="X71" s="24">
        <f t="shared" si="19"/>
        <v>14</v>
      </c>
      <c r="Y71" s="25">
        <f t="shared" si="19"/>
        <v>9</v>
      </c>
      <c r="Z71" s="24">
        <f t="shared" si="19"/>
        <v>36</v>
      </c>
      <c r="AA71" s="25">
        <f t="shared" si="19"/>
        <v>60</v>
      </c>
      <c r="AB71" s="24">
        <f t="shared" si="19"/>
        <v>71</v>
      </c>
      <c r="AC71" s="25">
        <f t="shared" si="19"/>
        <v>26</v>
      </c>
      <c r="AD71" s="24">
        <f t="shared" si="19"/>
        <v>89</v>
      </c>
      <c r="AE71" s="25">
        <f t="shared" si="19"/>
        <v>41</v>
      </c>
      <c r="AF71" s="24">
        <f t="shared" si="19"/>
        <v>115</v>
      </c>
      <c r="AG71" s="25">
        <f t="shared" si="19"/>
        <v>39</v>
      </c>
      <c r="AH71" s="24">
        <f t="shared" si="19"/>
        <v>65</v>
      </c>
      <c r="AI71" s="25">
        <v>8</v>
      </c>
      <c r="AJ71" s="24">
        <v>32</v>
      </c>
      <c r="AK71" s="25">
        <f>AK70</f>
        <v>397</v>
      </c>
      <c r="AL71" s="24">
        <f>AL70</f>
        <v>949</v>
      </c>
      <c r="AM71" s="25">
        <f>AK71/15</f>
        <v>26.466666666666665</v>
      </c>
      <c r="AN71" s="60">
        <f>AL71/15</f>
        <v>63.266666666666666</v>
      </c>
      <c r="AO71" s="57">
        <f>MAX(G71,I71,K71,M71,O71,Q71,S71,U71,W71,Y71,AA71,AC71,AE71,AG71,AI71)</f>
        <v>71</v>
      </c>
      <c r="AP71" s="58">
        <f>MAX(H71,J71,L71,N71,P71,R71,T71,V71,X71,Z71,AB71,AD71,AF71,AH71,AJ71)</f>
        <v>145</v>
      </c>
      <c r="AQ71" s="57">
        <f>IFERROR(STDEVP(G71,I71,K71,M71,O71,Q71,S71,U71,W71,Y71,AA71,AC71,AE71,AG71,AI71),"")</f>
        <v>18.789595229511701</v>
      </c>
      <c r="AR71" s="58">
        <f>IFERROR(STDEVP(H71,J71,L71,N71,P71,R71,T71,V71,X71,Z71,AB71,AD71,AF71,AH71,AJ71),"")</f>
        <v>37.962203425102828</v>
      </c>
    </row>
    <row r="72" spans="1:53" ht="12" customHeight="1" x14ac:dyDescent="0.25">
      <c r="A72" s="202" t="s">
        <v>324</v>
      </c>
      <c r="B72" s="202"/>
      <c r="C72" s="202"/>
      <c r="D72" s="202"/>
      <c r="E72" s="202"/>
      <c r="F72" s="202"/>
      <c r="O72" s="19"/>
      <c r="P72" s="19"/>
      <c r="Q72" s="19"/>
      <c r="R72" s="19"/>
      <c r="AM72" s="19"/>
      <c r="AN72" s="19"/>
      <c r="AO72" s="19"/>
      <c r="AP72" s="19"/>
      <c r="AQ72" s="22"/>
      <c r="AR72" s="22"/>
      <c r="AT72" s="19"/>
      <c r="AU72" s="19"/>
      <c r="AX72" s="19"/>
      <c r="AY72" s="19"/>
      <c r="AZ72" s="22"/>
      <c r="BA72" s="22"/>
    </row>
    <row r="73" spans="1:53" ht="12" customHeight="1" x14ac:dyDescent="0.25"/>
    <row r="74" spans="1:53" ht="30" customHeight="1" x14ac:dyDescent="0.25">
      <c r="A74" s="230" t="s">
        <v>189</v>
      </c>
      <c r="B74" s="231"/>
      <c r="C74" s="232"/>
      <c r="D74" s="30" t="s">
        <v>128</v>
      </c>
      <c r="E74" s="30" t="s">
        <v>140</v>
      </c>
      <c r="F74" s="233" t="s">
        <v>266</v>
      </c>
    </row>
    <row r="75" spans="1:53" x14ac:dyDescent="0.25">
      <c r="A75" s="32" t="s">
        <v>141</v>
      </c>
      <c r="B75" s="32"/>
      <c r="C75" s="32"/>
      <c r="D75" s="10">
        <v>24</v>
      </c>
      <c r="E75" s="20" t="s">
        <v>190</v>
      </c>
      <c r="F75" s="234"/>
    </row>
    <row r="76" spans="1:53" x14ac:dyDescent="0.25">
      <c r="A76" s="32" t="s">
        <v>142</v>
      </c>
      <c r="B76" s="32"/>
      <c r="C76" s="32"/>
      <c r="D76" s="10">
        <v>30</v>
      </c>
      <c r="E76" s="20">
        <v>26</v>
      </c>
      <c r="F76" s="235"/>
    </row>
    <row r="78" spans="1:53" x14ac:dyDescent="0.25">
      <c r="A78" s="236"/>
      <c r="B78" s="236"/>
      <c r="C78" s="236"/>
      <c r="D78" s="236"/>
      <c r="E78" s="236"/>
      <c r="F78" s="236"/>
    </row>
    <row r="79" spans="1:53" x14ac:dyDescent="0.25">
      <c r="A79" s="237"/>
      <c r="B79" s="237"/>
      <c r="C79" s="237"/>
      <c r="D79" s="237"/>
      <c r="E79" s="237"/>
      <c r="F79" s="237"/>
    </row>
    <row r="80" spans="1:53" x14ac:dyDescent="0.25">
      <c r="A80" s="237"/>
      <c r="B80" s="237"/>
      <c r="C80" s="237"/>
      <c r="D80" s="237"/>
      <c r="E80" s="237"/>
      <c r="F80" s="237"/>
    </row>
    <row r="81" spans="1:6" x14ac:dyDescent="0.25">
      <c r="A81" s="237"/>
      <c r="B81" s="237"/>
      <c r="C81" s="237"/>
      <c r="D81" s="237"/>
      <c r="E81" s="237"/>
      <c r="F81" s="237"/>
    </row>
    <row r="82" spans="1:6" x14ac:dyDescent="0.25">
      <c r="A82" s="237"/>
      <c r="B82" s="237"/>
      <c r="C82" s="237"/>
      <c r="D82" s="237"/>
      <c r="E82" s="237"/>
      <c r="F82" s="237"/>
    </row>
    <row r="83" spans="1:6" ht="12" customHeight="1" x14ac:dyDescent="0.25">
      <c r="A83" s="237"/>
      <c r="B83" s="237"/>
      <c r="C83" s="237"/>
      <c r="D83" s="237"/>
      <c r="E83" s="237"/>
      <c r="F83" s="237"/>
    </row>
    <row r="84" spans="1:6" x14ac:dyDescent="0.25">
      <c r="A84" s="237"/>
      <c r="B84" s="237"/>
      <c r="C84" s="237"/>
      <c r="D84" s="237"/>
      <c r="E84" s="237"/>
      <c r="F84" s="237"/>
    </row>
    <row r="85" spans="1:6" ht="15" customHeight="1" x14ac:dyDescent="0.25">
      <c r="A85" s="237"/>
      <c r="B85" s="237"/>
      <c r="C85" s="237"/>
      <c r="D85" s="237"/>
      <c r="E85" s="237"/>
      <c r="F85" s="237"/>
    </row>
    <row r="86" spans="1:6" x14ac:dyDescent="0.25">
      <c r="A86" s="237"/>
      <c r="B86" s="237"/>
      <c r="C86" s="237"/>
      <c r="D86" s="237"/>
      <c r="E86" s="237"/>
      <c r="F86" s="237"/>
    </row>
    <row r="90" spans="1:6" ht="12" customHeight="1" x14ac:dyDescent="0.25"/>
    <row r="92" spans="1:6" ht="15" customHeight="1" x14ac:dyDescent="0.25"/>
    <row r="93" spans="1:6" ht="15" customHeight="1" x14ac:dyDescent="0.25"/>
    <row r="94" spans="1:6" ht="15" customHeight="1" x14ac:dyDescent="0.25"/>
    <row r="95" spans="1:6" ht="14.25" customHeight="1" x14ac:dyDescent="0.25"/>
    <row r="96" spans="1:6" ht="12" customHeight="1" x14ac:dyDescent="0.25"/>
    <row r="97" spans="45:53" x14ac:dyDescent="0.25">
      <c r="AS97" s="21"/>
      <c r="AT97" s="21"/>
      <c r="AU97" s="21"/>
      <c r="AW97" s="21"/>
      <c r="AX97" s="21"/>
      <c r="AY97" s="21"/>
      <c r="AZ97" s="21"/>
      <c r="BA97" s="21"/>
    </row>
    <row r="98" spans="45:53" ht="12" customHeight="1" x14ac:dyDescent="0.25"/>
    <row r="100" spans="45:53" ht="23.25" customHeight="1" x14ac:dyDescent="0.25"/>
    <row r="102" spans="45:53" ht="36" customHeight="1" x14ac:dyDescent="0.25"/>
    <row r="104" spans="45:53" ht="12" customHeight="1" x14ac:dyDescent="0.25"/>
    <row r="106" spans="45:53" ht="15" customHeight="1" x14ac:dyDescent="0.25"/>
    <row r="107" spans="45:53" ht="15" customHeight="1" x14ac:dyDescent="0.25"/>
    <row r="108" spans="45:53" ht="50.25" customHeight="1" x14ac:dyDescent="0.25"/>
    <row r="110" spans="45:53" ht="12" customHeight="1" x14ac:dyDescent="0.25"/>
    <row r="122" ht="12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2" customHeight="1" x14ac:dyDescent="0.25"/>
  </sheetData>
  <autoFilter ref="A6:AR68"/>
  <sortState ref="A7:BE67">
    <sortCondition ref="C7:C67"/>
    <sortCondition ref="D7:D67"/>
  </sortState>
  <mergeCells count="39">
    <mergeCell ref="A74:C74"/>
    <mergeCell ref="F74:F76"/>
    <mergeCell ref="A78:F86"/>
    <mergeCell ref="AK3:AR3"/>
    <mergeCell ref="AQ4:AR5"/>
    <mergeCell ref="U5:V5"/>
    <mergeCell ref="W5:X5"/>
    <mergeCell ref="Y5:Z5"/>
    <mergeCell ref="AA5:AB5"/>
    <mergeCell ref="AC5:AD5"/>
    <mergeCell ref="AE5:AF5"/>
    <mergeCell ref="AG5:AH5"/>
    <mergeCell ref="AI5:AJ5"/>
    <mergeCell ref="AM4:AN5"/>
    <mergeCell ref="G4:AJ4"/>
    <mergeCell ref="I5:J5"/>
    <mergeCell ref="G5:H5"/>
    <mergeCell ref="AK4:AL5"/>
    <mergeCell ref="AO4:AP5"/>
    <mergeCell ref="K5:L5"/>
    <mergeCell ref="A72:F72"/>
    <mergeCell ref="B19:B20"/>
    <mergeCell ref="C19:C20"/>
    <mergeCell ref="D19:D20"/>
    <mergeCell ref="D41:D42"/>
    <mergeCell ref="E41:E42"/>
    <mergeCell ref="A71:F71"/>
    <mergeCell ref="A68:F68"/>
    <mergeCell ref="E19:E20"/>
    <mergeCell ref="B41:B42"/>
    <mergeCell ref="C41:C42"/>
    <mergeCell ref="S5:T5"/>
    <mergeCell ref="Q5:R5"/>
    <mergeCell ref="O5:P5"/>
    <mergeCell ref="M5:N5"/>
    <mergeCell ref="A1:F1"/>
    <mergeCell ref="A2:F2"/>
    <mergeCell ref="C4:F5"/>
    <mergeCell ref="A4:B5"/>
  </mergeCells>
  <pageMargins left="0.19685039370078741" right="0.19685039370078741" top="0.19685039370078741" bottom="0.19685039370078741" header="0" footer="0"/>
  <pageSetup paperSize="8" scale="5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37" zoomScaleNormal="100" workbookViewId="0">
      <selection activeCell="L45" sqref="L45"/>
    </sheetView>
  </sheetViews>
  <sheetFormatPr defaultRowHeight="15" x14ac:dyDescent="0.25"/>
  <cols>
    <col min="1" max="1" width="23.85546875" customWidth="1"/>
    <col min="2" max="2" width="15.5703125" customWidth="1"/>
    <col min="3" max="3" width="14" customWidth="1"/>
    <col min="4" max="4" width="15" style="48" customWidth="1"/>
    <col min="5" max="7" width="13" style="48" customWidth="1"/>
  </cols>
  <sheetData>
    <row r="1" spans="1:7" s="48" customFormat="1" x14ac:dyDescent="0.25">
      <c r="A1" s="245" t="s">
        <v>331</v>
      </c>
      <c r="B1" s="246"/>
      <c r="C1" s="246"/>
      <c r="D1" s="246"/>
      <c r="E1" s="246"/>
      <c r="F1" s="246"/>
      <c r="G1" s="247"/>
    </row>
    <row r="2" spans="1:7" ht="38.25" x14ac:dyDescent="0.25">
      <c r="A2" s="61" t="s">
        <v>314</v>
      </c>
      <c r="B2" s="62" t="s">
        <v>312</v>
      </c>
      <c r="C2" s="62" t="s">
        <v>313</v>
      </c>
      <c r="D2" s="62" t="s">
        <v>327</v>
      </c>
      <c r="E2" s="62" t="s">
        <v>326</v>
      </c>
      <c r="F2" s="62" t="s">
        <v>328</v>
      </c>
      <c r="G2" s="62" t="s">
        <v>329</v>
      </c>
    </row>
    <row r="3" spans="1:7" x14ac:dyDescent="0.25">
      <c r="A3" s="63" t="s">
        <v>55</v>
      </c>
      <c r="B3" s="64">
        <v>39253.386363636368</v>
      </c>
      <c r="C3" s="64">
        <v>17414.630681818184</v>
      </c>
      <c r="D3" s="65">
        <v>55578</v>
      </c>
      <c r="E3" s="65">
        <v>15438</v>
      </c>
      <c r="F3" s="65">
        <v>40606</v>
      </c>
      <c r="G3" s="65">
        <v>21064</v>
      </c>
    </row>
    <row r="4" spans="1:7" x14ac:dyDescent="0.25">
      <c r="A4" s="63" t="s">
        <v>56</v>
      </c>
      <c r="B4" s="64">
        <v>53762.38636363636</v>
      </c>
      <c r="C4" s="64">
        <v>29501.63068181818</v>
      </c>
      <c r="D4" s="65">
        <v>55578</v>
      </c>
      <c r="E4" s="65">
        <v>15438</v>
      </c>
      <c r="F4" s="65">
        <v>40606</v>
      </c>
      <c r="G4" s="65">
        <v>21064</v>
      </c>
    </row>
    <row r="5" spans="1:7" x14ac:dyDescent="0.25">
      <c r="A5" s="63" t="s">
        <v>57</v>
      </c>
      <c r="B5" s="64">
        <v>48673.38636363636</v>
      </c>
      <c r="C5" s="64">
        <v>25316.63068181818</v>
      </c>
      <c r="D5" s="65">
        <v>55578</v>
      </c>
      <c r="E5" s="65">
        <v>15438</v>
      </c>
      <c r="F5" s="65">
        <v>40606</v>
      </c>
      <c r="G5" s="65">
        <v>21064</v>
      </c>
    </row>
    <row r="6" spans="1:7" x14ac:dyDescent="0.25">
      <c r="A6" s="63" t="s">
        <v>58</v>
      </c>
      <c r="B6" s="64">
        <v>41090.386363636368</v>
      </c>
      <c r="C6" s="64">
        <v>21383.63068181818</v>
      </c>
      <c r="D6" s="65">
        <v>55578</v>
      </c>
      <c r="E6" s="65">
        <v>15438</v>
      </c>
      <c r="F6" s="65">
        <v>40606</v>
      </c>
      <c r="G6" s="65">
        <v>21064</v>
      </c>
    </row>
    <row r="7" spans="1:7" x14ac:dyDescent="0.25">
      <c r="A7" s="63" t="s">
        <v>59</v>
      </c>
      <c r="B7" s="64">
        <v>41734.386363636368</v>
      </c>
      <c r="C7" s="64">
        <v>24729.63068181818</v>
      </c>
      <c r="D7" s="65">
        <v>55578</v>
      </c>
      <c r="E7" s="65">
        <v>15438</v>
      </c>
      <c r="F7" s="65">
        <v>40606</v>
      </c>
      <c r="G7" s="65">
        <v>21064</v>
      </c>
    </row>
    <row r="8" spans="1:7" x14ac:dyDescent="0.25">
      <c r="A8" s="63" t="s">
        <v>60</v>
      </c>
      <c r="B8" s="64">
        <v>38052.636363636368</v>
      </c>
      <c r="C8" s="64">
        <v>18691.818181818184</v>
      </c>
      <c r="D8" s="65">
        <v>55578</v>
      </c>
      <c r="E8" s="65">
        <v>15438</v>
      </c>
      <c r="F8" s="65">
        <v>40606</v>
      </c>
      <c r="G8" s="65">
        <v>21064</v>
      </c>
    </row>
    <row r="9" spans="1:7" x14ac:dyDescent="0.25">
      <c r="A9" s="63" t="s">
        <v>61</v>
      </c>
      <c r="B9" s="64">
        <v>35162.636363636368</v>
      </c>
      <c r="C9" s="64">
        <v>18484.818181818184</v>
      </c>
      <c r="D9" s="65">
        <v>55578</v>
      </c>
      <c r="E9" s="65">
        <v>15438</v>
      </c>
      <c r="F9" s="65">
        <v>40606</v>
      </c>
      <c r="G9" s="65">
        <v>21064</v>
      </c>
    </row>
    <row r="10" spans="1:7" x14ac:dyDescent="0.25">
      <c r="A10" s="63" t="s">
        <v>259</v>
      </c>
      <c r="B10" s="64">
        <v>43143</v>
      </c>
      <c r="C10" s="64">
        <v>22247</v>
      </c>
      <c r="D10" s="65">
        <v>55578</v>
      </c>
      <c r="E10" s="65">
        <v>15438</v>
      </c>
      <c r="F10" s="65">
        <v>40606</v>
      </c>
      <c r="G10" s="65">
        <v>21064</v>
      </c>
    </row>
    <row r="11" spans="1:7" x14ac:dyDescent="0.25">
      <c r="A11" s="63" t="s">
        <v>260</v>
      </c>
      <c r="B11" s="64">
        <v>42968</v>
      </c>
      <c r="C11" s="64">
        <v>17288</v>
      </c>
      <c r="D11" s="65">
        <v>55578</v>
      </c>
      <c r="E11" s="65">
        <v>15438</v>
      </c>
      <c r="F11" s="65">
        <v>40606</v>
      </c>
      <c r="G11" s="65">
        <v>21064</v>
      </c>
    </row>
    <row r="12" spans="1:7" x14ac:dyDescent="0.25">
      <c r="A12" s="63" t="s">
        <v>261</v>
      </c>
      <c r="B12" s="64">
        <v>40185</v>
      </c>
      <c r="C12" s="64">
        <v>26792</v>
      </c>
      <c r="D12" s="65">
        <v>55578</v>
      </c>
      <c r="E12" s="65">
        <v>15438</v>
      </c>
      <c r="F12" s="65">
        <v>40606</v>
      </c>
      <c r="G12" s="65">
        <v>21064</v>
      </c>
    </row>
    <row r="13" spans="1:7" x14ac:dyDescent="0.25">
      <c r="A13" s="63" t="s">
        <v>262</v>
      </c>
      <c r="B13" s="64">
        <v>45196</v>
      </c>
      <c r="C13" s="64">
        <v>19352</v>
      </c>
      <c r="D13" s="65">
        <v>55578</v>
      </c>
      <c r="E13" s="65">
        <v>15438</v>
      </c>
      <c r="F13" s="65">
        <v>40606</v>
      </c>
      <c r="G13" s="65">
        <v>21064</v>
      </c>
    </row>
    <row r="14" spans="1:7" x14ac:dyDescent="0.25">
      <c r="A14" s="63" t="s">
        <v>263</v>
      </c>
      <c r="B14" s="64">
        <v>35574</v>
      </c>
      <c r="C14" s="64">
        <v>15293</v>
      </c>
      <c r="D14" s="65">
        <v>55578</v>
      </c>
      <c r="E14" s="65">
        <v>15438</v>
      </c>
      <c r="F14" s="65">
        <v>40606</v>
      </c>
      <c r="G14" s="65">
        <v>21064</v>
      </c>
    </row>
    <row r="15" spans="1:7" x14ac:dyDescent="0.25">
      <c r="A15" s="63" t="s">
        <v>264</v>
      </c>
      <c r="B15" s="64">
        <v>31776</v>
      </c>
      <c r="C15" s="64">
        <v>20693</v>
      </c>
      <c r="D15" s="65">
        <v>55578</v>
      </c>
      <c r="E15" s="65">
        <v>15438</v>
      </c>
      <c r="F15" s="65">
        <v>40606</v>
      </c>
      <c r="G15" s="65">
        <v>21064</v>
      </c>
    </row>
    <row r="16" spans="1:7" x14ac:dyDescent="0.25">
      <c r="A16" s="63" t="s">
        <v>265</v>
      </c>
      <c r="B16" s="64">
        <v>34115</v>
      </c>
      <c r="C16" s="64">
        <v>17177</v>
      </c>
      <c r="D16" s="65">
        <v>55578</v>
      </c>
      <c r="E16" s="65">
        <v>15438</v>
      </c>
      <c r="F16" s="65">
        <v>40606</v>
      </c>
      <c r="G16" s="65">
        <v>21064</v>
      </c>
    </row>
    <row r="17" spans="1:7" x14ac:dyDescent="0.25">
      <c r="A17" s="66" t="s">
        <v>315</v>
      </c>
      <c r="B17" s="64">
        <v>38409</v>
      </c>
      <c r="C17" s="64">
        <v>21589</v>
      </c>
      <c r="D17" s="65">
        <v>55578</v>
      </c>
      <c r="E17" s="65">
        <v>15438</v>
      </c>
      <c r="F17" s="65">
        <v>40606</v>
      </c>
      <c r="G17" s="65">
        <v>21064</v>
      </c>
    </row>
    <row r="18" spans="1:7" x14ac:dyDescent="0.25">
      <c r="A18" s="76" t="s">
        <v>321</v>
      </c>
      <c r="B18" s="77">
        <f>SUM(B3:B17)</f>
        <v>609095.20454545459</v>
      </c>
      <c r="C18" s="176">
        <f>SUM(C3:C17)</f>
        <v>315953.78977272729</v>
      </c>
      <c r="D18" s="77"/>
      <c r="E18" s="77"/>
      <c r="F18" s="77">
        <f>B31</f>
        <v>26</v>
      </c>
      <c r="G18" s="77"/>
    </row>
    <row r="19" spans="1:7" x14ac:dyDescent="0.25">
      <c r="A19" s="78" t="s">
        <v>325</v>
      </c>
      <c r="B19" s="134">
        <f>B18/15</f>
        <v>40606.34696969697</v>
      </c>
      <c r="C19" s="177">
        <f>C18/15</f>
        <v>21063.585984848487</v>
      </c>
      <c r="D19" s="81">
        <f>B19/D17</f>
        <v>0.73061907534810477</v>
      </c>
      <c r="E19" s="81">
        <f>C19/E17</f>
        <v>1.3643986257836822</v>
      </c>
      <c r="F19" s="77"/>
      <c r="G19" s="77"/>
    </row>
    <row r="20" spans="1:7" s="48" customFormat="1" x14ac:dyDescent="0.25">
      <c r="A20" s="79" t="s">
        <v>333</v>
      </c>
      <c r="B20" s="80">
        <f>LARGE(B3:B17,1)</f>
        <v>53762.38636363636</v>
      </c>
      <c r="C20" s="178">
        <f>LARGE(C3:C17,1)</f>
        <v>29501.63068181818</v>
      </c>
      <c r="D20" s="82">
        <f>B20/D17</f>
        <v>0.96733215235590275</v>
      </c>
      <c r="E20" s="83">
        <f>C20/E17</f>
        <v>1.910974911375708</v>
      </c>
      <c r="F20" s="84"/>
      <c r="G20" s="84"/>
    </row>
    <row r="21" spans="1:7" x14ac:dyDescent="0.25">
      <c r="A21" s="162"/>
    </row>
    <row r="22" spans="1:7" s="48" customFormat="1" x14ac:dyDescent="0.25">
      <c r="A22" s="162"/>
      <c r="B22" s="164"/>
    </row>
    <row r="23" spans="1:7" x14ac:dyDescent="0.25">
      <c r="A23" s="63"/>
      <c r="B23" s="248" t="s">
        <v>311</v>
      </c>
      <c r="C23" s="248"/>
      <c r="D23" s="248"/>
      <c r="E23" s="248"/>
      <c r="F23" s="248"/>
    </row>
    <row r="24" spans="1:7" x14ac:dyDescent="0.25">
      <c r="A24" s="61" t="s">
        <v>314</v>
      </c>
      <c r="B24" s="68" t="s">
        <v>312</v>
      </c>
      <c r="C24" s="68" t="s">
        <v>313</v>
      </c>
      <c r="D24" s="69" t="s">
        <v>332</v>
      </c>
      <c r="E24" s="69" t="s">
        <v>328</v>
      </c>
      <c r="F24" s="69" t="s">
        <v>329</v>
      </c>
    </row>
    <row r="25" spans="1:7" x14ac:dyDescent="0.25">
      <c r="A25" s="63" t="s">
        <v>55</v>
      </c>
      <c r="B25" s="64">
        <v>71</v>
      </c>
      <c r="C25" s="64">
        <v>145</v>
      </c>
      <c r="D25" s="70">
        <v>0</v>
      </c>
      <c r="E25" s="65">
        <v>26</v>
      </c>
      <c r="F25" s="65">
        <v>63</v>
      </c>
    </row>
    <row r="26" spans="1:7" x14ac:dyDescent="0.25">
      <c r="A26" s="63" t="s">
        <v>56</v>
      </c>
      <c r="B26" s="64">
        <v>14</v>
      </c>
      <c r="C26" s="64">
        <v>10</v>
      </c>
      <c r="D26" s="70">
        <v>0</v>
      </c>
      <c r="E26" s="65">
        <v>26</v>
      </c>
      <c r="F26" s="65">
        <v>63</v>
      </c>
    </row>
    <row r="27" spans="1:7" x14ac:dyDescent="0.25">
      <c r="A27" s="63" t="s">
        <v>57</v>
      </c>
      <c r="B27" s="64">
        <v>16</v>
      </c>
      <c r="C27" s="64">
        <v>101</v>
      </c>
      <c r="D27" s="70">
        <v>0</v>
      </c>
      <c r="E27" s="65">
        <v>26</v>
      </c>
      <c r="F27" s="65">
        <v>63</v>
      </c>
    </row>
    <row r="28" spans="1:7" x14ac:dyDescent="0.25">
      <c r="A28" s="63" t="s">
        <v>58</v>
      </c>
      <c r="B28" s="64">
        <v>15</v>
      </c>
      <c r="C28" s="64">
        <v>40</v>
      </c>
      <c r="D28" s="70">
        <v>0</v>
      </c>
      <c r="E28" s="65">
        <v>26</v>
      </c>
      <c r="F28" s="65">
        <v>63</v>
      </c>
    </row>
    <row r="29" spans="1:7" x14ac:dyDescent="0.25">
      <c r="A29" s="63" t="s">
        <v>59</v>
      </c>
      <c r="B29" s="64">
        <v>31</v>
      </c>
      <c r="C29" s="64">
        <v>99</v>
      </c>
      <c r="D29" s="70">
        <v>0</v>
      </c>
      <c r="E29" s="65">
        <v>26</v>
      </c>
      <c r="F29" s="65">
        <v>63</v>
      </c>
    </row>
    <row r="30" spans="1:7" x14ac:dyDescent="0.25">
      <c r="A30" s="63" t="s">
        <v>60</v>
      </c>
      <c r="B30" s="64">
        <v>25</v>
      </c>
      <c r="C30" s="64">
        <v>47</v>
      </c>
      <c r="D30" s="70">
        <v>0</v>
      </c>
      <c r="E30" s="65">
        <v>26</v>
      </c>
      <c r="F30" s="65">
        <v>63</v>
      </c>
    </row>
    <row r="31" spans="1:7" x14ac:dyDescent="0.25">
      <c r="A31" s="63" t="s">
        <v>61</v>
      </c>
      <c r="B31" s="64">
        <v>26</v>
      </c>
      <c r="C31" s="64">
        <v>33</v>
      </c>
      <c r="D31" s="70">
        <v>0</v>
      </c>
      <c r="E31" s="65">
        <v>26</v>
      </c>
      <c r="F31" s="65">
        <v>63</v>
      </c>
    </row>
    <row r="32" spans="1:7" x14ac:dyDescent="0.25">
      <c r="A32" s="63" t="s">
        <v>259</v>
      </c>
      <c r="B32" s="64">
        <v>14</v>
      </c>
      <c r="C32" s="64">
        <v>52</v>
      </c>
      <c r="D32" s="70">
        <v>0</v>
      </c>
      <c r="E32" s="65">
        <v>26</v>
      </c>
      <c r="F32" s="65">
        <v>63</v>
      </c>
    </row>
    <row r="33" spans="1:6" x14ac:dyDescent="0.25">
      <c r="A33" s="63" t="s">
        <v>260</v>
      </c>
      <c r="B33" s="64">
        <v>2</v>
      </c>
      <c r="C33" s="64">
        <v>14</v>
      </c>
      <c r="D33" s="70">
        <v>0</v>
      </c>
      <c r="E33" s="65">
        <v>26</v>
      </c>
      <c r="F33" s="65">
        <v>63</v>
      </c>
    </row>
    <row r="34" spans="1:6" x14ac:dyDescent="0.25">
      <c r="A34" s="63" t="s">
        <v>261</v>
      </c>
      <c r="B34" s="64">
        <v>9</v>
      </c>
      <c r="C34" s="64">
        <v>36</v>
      </c>
      <c r="D34" s="70">
        <v>0</v>
      </c>
      <c r="E34" s="65">
        <v>26</v>
      </c>
      <c r="F34" s="65">
        <v>63</v>
      </c>
    </row>
    <row r="35" spans="1:6" x14ac:dyDescent="0.25">
      <c r="A35" s="63" t="s">
        <v>262</v>
      </c>
      <c r="B35" s="64">
        <v>60</v>
      </c>
      <c r="C35" s="64">
        <v>71</v>
      </c>
      <c r="D35" s="70">
        <v>0</v>
      </c>
      <c r="E35" s="65">
        <v>26</v>
      </c>
      <c r="F35" s="65">
        <v>63</v>
      </c>
    </row>
    <row r="36" spans="1:6" x14ac:dyDescent="0.25">
      <c r="A36" s="63" t="s">
        <v>263</v>
      </c>
      <c r="B36" s="64">
        <v>26</v>
      </c>
      <c r="C36" s="64">
        <v>89</v>
      </c>
      <c r="D36" s="70">
        <v>0</v>
      </c>
      <c r="E36" s="65">
        <v>26</v>
      </c>
      <c r="F36" s="65">
        <v>63</v>
      </c>
    </row>
    <row r="37" spans="1:6" s="48" customFormat="1" x14ac:dyDescent="0.25">
      <c r="A37" s="63" t="s">
        <v>264</v>
      </c>
      <c r="B37" s="64">
        <v>41</v>
      </c>
      <c r="C37" s="64">
        <v>115</v>
      </c>
      <c r="D37" s="70">
        <v>0</v>
      </c>
      <c r="E37" s="65">
        <v>26</v>
      </c>
      <c r="F37" s="65">
        <v>63</v>
      </c>
    </row>
    <row r="38" spans="1:6" s="48" customFormat="1" x14ac:dyDescent="0.25">
      <c r="A38" s="63" t="s">
        <v>265</v>
      </c>
      <c r="B38" s="64">
        <v>39</v>
      </c>
      <c r="C38" s="64">
        <v>65</v>
      </c>
      <c r="D38" s="70">
        <v>0</v>
      </c>
      <c r="E38" s="65">
        <v>26</v>
      </c>
      <c r="F38" s="65">
        <v>63</v>
      </c>
    </row>
    <row r="39" spans="1:6" s="48" customFormat="1" x14ac:dyDescent="0.25">
      <c r="A39" s="66" t="s">
        <v>315</v>
      </c>
      <c r="B39" s="64">
        <v>8</v>
      </c>
      <c r="C39" s="64">
        <v>32</v>
      </c>
      <c r="D39" s="70">
        <v>0</v>
      </c>
      <c r="E39" s="65">
        <v>26</v>
      </c>
      <c r="F39" s="65">
        <v>63</v>
      </c>
    </row>
    <row r="40" spans="1:6" s="48" customFormat="1" x14ac:dyDescent="0.25">
      <c r="A40" s="76" t="s">
        <v>321</v>
      </c>
      <c r="B40" s="77">
        <f>SUM(B25:B39)</f>
        <v>397</v>
      </c>
      <c r="C40" s="176">
        <f>SUM(C25:C39)</f>
        <v>949</v>
      </c>
      <c r="D40" s="72"/>
      <c r="E40" s="72"/>
      <c r="F40" s="72"/>
    </row>
    <row r="41" spans="1:6" s="48" customFormat="1" x14ac:dyDescent="0.25">
      <c r="A41" s="78" t="s">
        <v>325</v>
      </c>
      <c r="B41" s="77">
        <f>B40/15</f>
        <v>26.466666666666665</v>
      </c>
      <c r="C41" s="176">
        <f>C40/15</f>
        <v>63.266666666666666</v>
      </c>
      <c r="D41" s="73"/>
      <c r="E41" s="73"/>
      <c r="F41" s="74"/>
    </row>
    <row r="42" spans="1:6" s="48" customFormat="1" x14ac:dyDescent="0.25">
      <c r="A42" s="79" t="s">
        <v>333</v>
      </c>
      <c r="B42" s="80">
        <f>LARGE(B25:B39,1)</f>
        <v>71</v>
      </c>
      <c r="C42" s="178">
        <f>LARGE(C25:C39,1)</f>
        <v>145</v>
      </c>
      <c r="D42" s="165"/>
      <c r="E42" s="75"/>
      <c r="F42" s="72"/>
    </row>
    <row r="43" spans="1:6" s="48" customFormat="1" x14ac:dyDescent="0.25">
      <c r="A43" s="249"/>
      <c r="B43" s="249"/>
      <c r="C43" s="249"/>
      <c r="D43" s="249"/>
      <c r="E43" s="249"/>
      <c r="F43" s="249"/>
    </row>
    <row r="44" spans="1:6" s="48" customFormat="1" ht="27" customHeight="1" x14ac:dyDescent="0.25">
      <c r="A44" s="244" t="s">
        <v>389</v>
      </c>
      <c r="B44" s="244"/>
      <c r="C44" s="244"/>
      <c r="D44" s="244"/>
      <c r="E44" s="244"/>
      <c r="F44" s="244"/>
    </row>
    <row r="45" spans="1:6" s="48" customFormat="1" ht="18.75" customHeight="1" x14ac:dyDescent="0.25">
      <c r="A45" s="182"/>
      <c r="B45" s="240" t="s">
        <v>379</v>
      </c>
      <c r="C45" s="240"/>
      <c r="D45" s="240" t="s">
        <v>378</v>
      </c>
      <c r="E45" s="240"/>
      <c r="F45" s="181"/>
    </row>
    <row r="46" spans="1:6" s="48" customFormat="1" ht="24.75" x14ac:dyDescent="0.25">
      <c r="A46" s="168" t="s">
        <v>374</v>
      </c>
      <c r="B46" s="169">
        <f>B19+(B19*0.1)</f>
        <v>44666.981666666667</v>
      </c>
      <c r="C46" s="170">
        <f>C19+(C19*0.1)</f>
        <v>23169.944583333338</v>
      </c>
      <c r="D46" s="179">
        <f>B46*12</f>
        <v>536003.78</v>
      </c>
      <c r="E46" s="180">
        <f>C46*12</f>
        <v>278039.33500000008</v>
      </c>
      <c r="F46" s="67"/>
    </row>
    <row r="47" spans="1:6" s="48" customFormat="1" ht="24.75" x14ac:dyDescent="0.25">
      <c r="A47" s="168" t="s">
        <v>375</v>
      </c>
      <c r="B47" s="241">
        <f>(B41+C41)+((B41+C41)*0.1)</f>
        <v>98.706666666666663</v>
      </c>
      <c r="C47" s="242"/>
      <c r="D47" s="250">
        <f>B47*12</f>
        <v>1184.48</v>
      </c>
      <c r="E47" s="250"/>
      <c r="F47" s="67"/>
    </row>
    <row r="48" spans="1:6" s="48" customFormat="1" ht="24.75" x14ac:dyDescent="0.25">
      <c r="A48" s="171" t="s">
        <v>376</v>
      </c>
      <c r="B48" s="174">
        <v>2000</v>
      </c>
      <c r="C48" s="175">
        <v>1000</v>
      </c>
      <c r="D48" s="67"/>
      <c r="F48" s="67"/>
    </row>
    <row r="49" spans="1:7" s="48" customFormat="1" x14ac:dyDescent="0.25">
      <c r="A49" s="167" t="s">
        <v>347</v>
      </c>
      <c r="B49" s="172">
        <f>B46/B48</f>
        <v>22.333490833333332</v>
      </c>
      <c r="C49" s="173">
        <f>C46/C48</f>
        <v>23.169944583333336</v>
      </c>
      <c r="D49" s="67" t="s">
        <v>377</v>
      </c>
      <c r="E49" s="67"/>
      <c r="F49" s="67"/>
    </row>
    <row r="50" spans="1:7" s="48" customFormat="1" x14ac:dyDescent="0.25">
      <c r="A50" s="67"/>
      <c r="B50" s="67"/>
      <c r="C50" s="67"/>
      <c r="D50" s="67"/>
      <c r="E50" s="67"/>
      <c r="F50" s="67"/>
    </row>
    <row r="51" spans="1:7" s="48" customFormat="1" x14ac:dyDescent="0.25">
      <c r="A51" s="244" t="s">
        <v>390</v>
      </c>
      <c r="B51" s="244"/>
      <c r="C51" s="244"/>
      <c r="D51" s="244"/>
      <c r="E51" s="244"/>
      <c r="F51" s="244"/>
    </row>
    <row r="52" spans="1:7" s="48" customFormat="1" x14ac:dyDescent="0.25">
      <c r="A52" s="182"/>
      <c r="B52" s="240" t="s">
        <v>379</v>
      </c>
      <c r="C52" s="240"/>
      <c r="D52" s="240" t="s">
        <v>378</v>
      </c>
      <c r="E52" s="240"/>
      <c r="F52" s="240" t="s">
        <v>382</v>
      </c>
      <c r="G52" s="240"/>
    </row>
    <row r="53" spans="1:7" s="48" customFormat="1" ht="24.75" x14ac:dyDescent="0.25">
      <c r="A53" s="168" t="s">
        <v>380</v>
      </c>
      <c r="B53" s="169">
        <f>B46+(B46*0.2)</f>
        <v>53600.377999999997</v>
      </c>
      <c r="C53" s="170">
        <f>C46+(C46*0.2)</f>
        <v>27803.933500000006</v>
      </c>
      <c r="D53" s="183">
        <f>B53*12</f>
        <v>643204.53599999996</v>
      </c>
      <c r="E53" s="184">
        <f>C53*12</f>
        <v>333647.20200000005</v>
      </c>
      <c r="F53" s="183">
        <f>INT(B53)*60</f>
        <v>3216000</v>
      </c>
      <c r="G53" s="184">
        <f>C53*60</f>
        <v>1668236.0100000005</v>
      </c>
    </row>
    <row r="54" spans="1:7" ht="24.75" x14ac:dyDescent="0.25">
      <c r="A54" s="168" t="s">
        <v>381</v>
      </c>
      <c r="B54" s="241">
        <f>B47+(B47*0.2)</f>
        <v>118.44799999999999</v>
      </c>
      <c r="C54" s="242"/>
      <c r="D54" s="243">
        <f>B54*12</f>
        <v>1421.376</v>
      </c>
      <c r="E54" s="243"/>
      <c r="F54" s="243">
        <f>B54*60</f>
        <v>7106.8799999999992</v>
      </c>
      <c r="G54" s="243"/>
    </row>
    <row r="55" spans="1:7" ht="24.75" x14ac:dyDescent="0.25">
      <c r="A55" s="171" t="s">
        <v>376</v>
      </c>
      <c r="B55" s="174">
        <v>2000</v>
      </c>
      <c r="C55" s="175">
        <v>1000</v>
      </c>
      <c r="D55" s="185"/>
      <c r="E55" s="186"/>
      <c r="F55" s="67"/>
      <c r="G55" s="162"/>
    </row>
    <row r="56" spans="1:7" x14ac:dyDescent="0.25">
      <c r="A56" s="167" t="s">
        <v>347</v>
      </c>
      <c r="B56" s="172">
        <f>INT(B53/B55)</f>
        <v>26</v>
      </c>
      <c r="C56" s="173">
        <f>INT(C53/C55)</f>
        <v>27</v>
      </c>
      <c r="D56" s="67" t="s">
        <v>377</v>
      </c>
      <c r="E56" s="67"/>
    </row>
  </sheetData>
  <mergeCells count="15">
    <mergeCell ref="A51:F51"/>
    <mergeCell ref="A1:G1"/>
    <mergeCell ref="B23:F23"/>
    <mergeCell ref="A43:F43"/>
    <mergeCell ref="A44:F44"/>
    <mergeCell ref="B47:C47"/>
    <mergeCell ref="D47:E47"/>
    <mergeCell ref="D45:E45"/>
    <mergeCell ref="B45:C45"/>
    <mergeCell ref="B52:C52"/>
    <mergeCell ref="D52:E52"/>
    <mergeCell ref="B54:C54"/>
    <mergeCell ref="D54:E54"/>
    <mergeCell ref="F52:G52"/>
    <mergeCell ref="F54:G54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tableParts count="2"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workbookViewId="0">
      <selection activeCell="E27" sqref="E27"/>
    </sheetView>
  </sheetViews>
  <sheetFormatPr defaultColWidth="9.140625" defaultRowHeight="12.75" x14ac:dyDescent="0.2"/>
  <cols>
    <col min="1" max="1" width="23.28515625" style="71" bestFit="1" customWidth="1"/>
    <col min="2" max="2" width="20.140625" style="71" bestFit="1" customWidth="1"/>
    <col min="3" max="3" width="15.85546875" style="71" bestFit="1" customWidth="1"/>
    <col min="4" max="5" width="14.140625" style="71" bestFit="1" customWidth="1"/>
    <col min="6" max="16384" width="9.140625" style="71"/>
  </cols>
  <sheetData>
    <row r="2" spans="1:5" x14ac:dyDescent="0.2">
      <c r="A2" s="101" t="s">
        <v>208</v>
      </c>
      <c r="B2" s="101" t="s">
        <v>114</v>
      </c>
      <c r="C2" s="101" t="s">
        <v>187</v>
      </c>
      <c r="D2" s="101" t="s">
        <v>188</v>
      </c>
      <c r="E2" s="101" t="s">
        <v>330</v>
      </c>
    </row>
    <row r="3" spans="1:5" x14ac:dyDescent="0.2">
      <c r="A3" s="102" t="s">
        <v>185</v>
      </c>
      <c r="B3" s="63" t="s">
        <v>118</v>
      </c>
      <c r="C3" s="46"/>
      <c r="D3" s="103">
        <v>2</v>
      </c>
      <c r="E3" s="46"/>
    </row>
    <row r="4" spans="1:5" x14ac:dyDescent="0.2">
      <c r="A4" s="102" t="s">
        <v>184</v>
      </c>
      <c r="B4" s="63" t="s">
        <v>118</v>
      </c>
      <c r="C4" s="46">
        <v>1</v>
      </c>
      <c r="D4" s="46"/>
      <c r="E4" s="46"/>
    </row>
    <row r="5" spans="1:5" x14ac:dyDescent="0.2">
      <c r="A5" s="102" t="s">
        <v>186</v>
      </c>
      <c r="B5" s="63" t="s">
        <v>118</v>
      </c>
      <c r="C5" s="46"/>
      <c r="D5" s="46">
        <v>1</v>
      </c>
      <c r="E5" s="46"/>
    </row>
    <row r="6" spans="1:5" x14ac:dyDescent="0.2">
      <c r="A6" s="102" t="s">
        <v>87</v>
      </c>
      <c r="B6" s="63" t="s">
        <v>120</v>
      </c>
      <c r="C6" s="46"/>
      <c r="D6" s="46">
        <v>1</v>
      </c>
      <c r="E6" s="46"/>
    </row>
    <row r="7" spans="1:5" x14ac:dyDescent="0.2">
      <c r="A7" s="102" t="s">
        <v>310</v>
      </c>
      <c r="B7" s="63" t="s">
        <v>120</v>
      </c>
      <c r="C7" s="46">
        <v>1</v>
      </c>
      <c r="D7" s="46"/>
      <c r="E7" s="46"/>
    </row>
    <row r="8" spans="1:5" x14ac:dyDescent="0.2">
      <c r="A8" s="102" t="s">
        <v>71</v>
      </c>
      <c r="B8" s="63" t="s">
        <v>121</v>
      </c>
      <c r="C8" s="46">
        <v>4</v>
      </c>
      <c r="D8" s="46">
        <v>1</v>
      </c>
      <c r="E8" s="46"/>
    </row>
    <row r="9" spans="1:5" x14ac:dyDescent="0.2">
      <c r="A9" s="102" t="s">
        <v>67</v>
      </c>
      <c r="B9" s="63" t="s">
        <v>210</v>
      </c>
      <c r="C9" s="46">
        <v>1</v>
      </c>
      <c r="D9" s="46">
        <v>6</v>
      </c>
      <c r="E9" s="46"/>
    </row>
    <row r="10" spans="1:5" x14ac:dyDescent="0.2">
      <c r="A10" s="102" t="s">
        <v>182</v>
      </c>
      <c r="B10" s="63" t="s">
        <v>118</v>
      </c>
      <c r="C10" s="46">
        <v>1</v>
      </c>
      <c r="D10" s="46"/>
      <c r="E10" s="46"/>
    </row>
    <row r="11" spans="1:5" x14ac:dyDescent="0.2">
      <c r="A11" s="102" t="s">
        <v>109</v>
      </c>
      <c r="B11" s="63" t="s">
        <v>120</v>
      </c>
      <c r="C11" s="46">
        <v>3</v>
      </c>
      <c r="D11" s="46">
        <v>3</v>
      </c>
      <c r="E11" s="46"/>
    </row>
    <row r="12" spans="1:5" x14ac:dyDescent="0.2">
      <c r="A12" s="102" t="s">
        <v>110</v>
      </c>
      <c r="B12" s="63" t="s">
        <v>122</v>
      </c>
      <c r="C12" s="46">
        <v>1</v>
      </c>
      <c r="D12" s="46">
        <v>3</v>
      </c>
      <c r="E12" s="46"/>
    </row>
    <row r="13" spans="1:5" x14ac:dyDescent="0.2">
      <c r="A13" s="102" t="s">
        <v>108</v>
      </c>
      <c r="B13" s="63" t="s">
        <v>116</v>
      </c>
      <c r="C13" s="46">
        <v>2</v>
      </c>
      <c r="D13" s="46">
        <v>2</v>
      </c>
      <c r="E13" s="46"/>
    </row>
    <row r="14" spans="1:5" x14ac:dyDescent="0.2">
      <c r="A14" s="102" t="s">
        <v>111</v>
      </c>
      <c r="B14" s="63" t="s">
        <v>121</v>
      </c>
      <c r="C14" s="46">
        <v>2</v>
      </c>
      <c r="D14" s="46">
        <v>1</v>
      </c>
      <c r="E14" s="46"/>
    </row>
    <row r="15" spans="1:5" x14ac:dyDescent="0.2">
      <c r="A15" s="102" t="s">
        <v>107</v>
      </c>
      <c r="B15" s="63" t="s">
        <v>117</v>
      </c>
      <c r="C15" s="46">
        <v>3</v>
      </c>
      <c r="D15" s="46">
        <v>2</v>
      </c>
      <c r="E15" s="46"/>
    </row>
    <row r="16" spans="1:5" x14ac:dyDescent="0.2">
      <c r="A16" s="102" t="s">
        <v>64</v>
      </c>
      <c r="B16" s="63" t="s">
        <v>207</v>
      </c>
      <c r="C16" s="46">
        <v>7</v>
      </c>
      <c r="D16" s="46">
        <v>2</v>
      </c>
      <c r="E16" s="46"/>
    </row>
    <row r="17" spans="1:5" x14ac:dyDescent="0.2">
      <c r="A17" s="102" t="s">
        <v>112</v>
      </c>
      <c r="B17" s="63" t="s">
        <v>206</v>
      </c>
      <c r="C17" s="46">
        <v>1</v>
      </c>
      <c r="D17" s="46"/>
      <c r="E17" s="46">
        <v>1</v>
      </c>
    </row>
    <row r="18" spans="1:5" x14ac:dyDescent="0.2">
      <c r="A18" s="251" t="s">
        <v>199</v>
      </c>
      <c r="B18" s="252"/>
      <c r="C18" s="101">
        <f>SUM(C3:C17)</f>
        <v>27</v>
      </c>
      <c r="D18" s="101">
        <f>SUM(D3:D17)</f>
        <v>24</v>
      </c>
      <c r="E18" s="101">
        <f>SUM(E3:E17)</f>
        <v>1</v>
      </c>
    </row>
    <row r="19" spans="1:5" x14ac:dyDescent="0.2">
      <c r="A19" s="251" t="s">
        <v>200</v>
      </c>
      <c r="B19" s="252"/>
      <c r="C19" s="253">
        <f>SUM(C18:E18)</f>
        <v>52</v>
      </c>
      <c r="D19" s="253"/>
      <c r="E19" s="253"/>
    </row>
  </sheetData>
  <mergeCells count="3">
    <mergeCell ref="A18:B18"/>
    <mergeCell ref="A19:B19"/>
    <mergeCell ref="C19:E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6"/>
  <sheetViews>
    <sheetView topLeftCell="A13" workbookViewId="0">
      <selection activeCell="O31" sqref="O31"/>
    </sheetView>
  </sheetViews>
  <sheetFormatPr defaultColWidth="9.140625" defaultRowHeight="12.75" x14ac:dyDescent="0.2"/>
  <cols>
    <col min="1" max="1" width="39.5703125" style="71" bestFit="1" customWidth="1"/>
    <col min="2" max="3" width="3" style="71" bestFit="1" customWidth="1"/>
    <col min="4" max="4" width="8.42578125" style="71" bestFit="1" customWidth="1"/>
    <col min="5" max="5" width="6" style="131" bestFit="1" customWidth="1"/>
    <col min="6" max="6" width="5.42578125" style="71" customWidth="1"/>
    <col min="7" max="7" width="39.5703125" style="71" bestFit="1" customWidth="1"/>
    <col min="8" max="9" width="3" style="71" bestFit="1" customWidth="1"/>
    <col min="10" max="10" width="8.42578125" style="71" bestFit="1" customWidth="1"/>
    <col min="11" max="11" width="6" style="71" bestFit="1" customWidth="1"/>
    <col min="12" max="12" width="9.140625" style="71" customWidth="1"/>
    <col min="13" max="16384" width="9.140625" style="71"/>
  </cols>
  <sheetData>
    <row r="1" spans="1:12" ht="15.75" x14ac:dyDescent="0.25">
      <c r="A1" s="254" t="s">
        <v>346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</row>
    <row r="3" spans="1:12" ht="38.25" customHeight="1" x14ac:dyDescent="0.2">
      <c r="A3" s="255" t="s">
        <v>218</v>
      </c>
      <c r="B3" s="255"/>
      <c r="C3" s="255"/>
      <c r="D3" s="255"/>
      <c r="E3" s="256"/>
      <c r="F3" s="104"/>
      <c r="G3" s="257" t="s">
        <v>219</v>
      </c>
      <c r="H3" s="257"/>
      <c r="I3" s="257"/>
      <c r="J3" s="257"/>
      <c r="K3" s="257"/>
    </row>
    <row r="4" spans="1:12" x14ac:dyDescent="0.2">
      <c r="A4" s="105" t="s">
        <v>220</v>
      </c>
      <c r="B4" s="106" t="s">
        <v>62</v>
      </c>
      <c r="C4" s="107" t="s">
        <v>124</v>
      </c>
      <c r="D4" s="108" t="s">
        <v>273</v>
      </c>
      <c r="E4" s="105" t="s">
        <v>221</v>
      </c>
      <c r="F4" s="109"/>
      <c r="G4" s="110" t="s">
        <v>220</v>
      </c>
      <c r="H4" s="111" t="s">
        <v>62</v>
      </c>
      <c r="I4" s="112" t="s">
        <v>124</v>
      </c>
      <c r="J4" s="113" t="s">
        <v>273</v>
      </c>
      <c r="K4" s="110" t="s">
        <v>221</v>
      </c>
    </row>
    <row r="5" spans="1:12" ht="12.75" customHeight="1" x14ac:dyDescent="0.2">
      <c r="A5" s="114" t="s">
        <v>250</v>
      </c>
      <c r="B5" s="115">
        <v>1</v>
      </c>
      <c r="C5" s="116"/>
      <c r="D5" s="117"/>
      <c r="E5" s="118">
        <f>SUM(B5:D5)</f>
        <v>1</v>
      </c>
      <c r="F5" s="109"/>
      <c r="G5" s="114" t="s">
        <v>250</v>
      </c>
      <c r="H5" s="115">
        <v>1</v>
      </c>
      <c r="I5" s="116"/>
      <c r="J5" s="117"/>
      <c r="K5" s="85">
        <f>SUM(H5:J5)</f>
        <v>1</v>
      </c>
    </row>
    <row r="6" spans="1:12" ht="12.75" customHeight="1" x14ac:dyDescent="0.2">
      <c r="A6" s="119" t="s">
        <v>249</v>
      </c>
      <c r="B6" s="120">
        <v>1</v>
      </c>
      <c r="C6" s="121"/>
      <c r="D6" s="122"/>
      <c r="E6" s="118">
        <f>SUM(B6:D6)</f>
        <v>1</v>
      </c>
      <c r="F6" s="109"/>
      <c r="G6" s="119" t="s">
        <v>249</v>
      </c>
      <c r="H6" s="120">
        <v>1</v>
      </c>
      <c r="I6" s="121"/>
      <c r="J6" s="122"/>
      <c r="K6" s="85">
        <f t="shared" ref="K6:K49" si="0">SUM(H6:J6)</f>
        <v>1</v>
      </c>
    </row>
    <row r="7" spans="1:12" ht="12.75" customHeight="1" x14ac:dyDescent="0.2">
      <c r="A7" s="119" t="s">
        <v>344</v>
      </c>
      <c r="B7" s="120"/>
      <c r="C7" s="121"/>
      <c r="D7" s="122">
        <v>1</v>
      </c>
      <c r="E7" s="118">
        <f>SUM(B7:D7)</f>
        <v>1</v>
      </c>
      <c r="F7" s="109"/>
      <c r="G7" s="119" t="s">
        <v>344</v>
      </c>
      <c r="H7" s="120"/>
      <c r="I7" s="121"/>
      <c r="J7" s="123">
        <v>0</v>
      </c>
      <c r="K7" s="85">
        <f t="shared" si="0"/>
        <v>0</v>
      </c>
    </row>
    <row r="8" spans="1:12" ht="14.25" customHeight="1" x14ac:dyDescent="0.2">
      <c r="A8" s="119" t="s">
        <v>222</v>
      </c>
      <c r="B8" s="120">
        <v>1</v>
      </c>
      <c r="C8" s="121"/>
      <c r="D8" s="122"/>
      <c r="E8" s="118">
        <f t="shared" ref="E8:E49" si="1">SUM(B8:D8)</f>
        <v>1</v>
      </c>
      <c r="F8" s="109"/>
      <c r="G8" s="119" t="s">
        <v>222</v>
      </c>
      <c r="H8" s="120">
        <v>1</v>
      </c>
      <c r="I8" s="121"/>
      <c r="J8" s="122"/>
      <c r="K8" s="85">
        <f t="shared" si="0"/>
        <v>1</v>
      </c>
    </row>
    <row r="9" spans="1:12" x14ac:dyDescent="0.2">
      <c r="A9" s="119" t="s">
        <v>223</v>
      </c>
      <c r="B9" s="120">
        <v>1</v>
      </c>
      <c r="C9" s="121"/>
      <c r="D9" s="122"/>
      <c r="E9" s="118">
        <f t="shared" si="1"/>
        <v>1</v>
      </c>
      <c r="F9" s="109"/>
      <c r="G9" s="119" t="s">
        <v>223</v>
      </c>
      <c r="H9" s="120">
        <v>1</v>
      </c>
      <c r="I9" s="121"/>
      <c r="J9" s="122"/>
      <c r="K9" s="85">
        <f t="shared" si="0"/>
        <v>1</v>
      </c>
    </row>
    <row r="10" spans="1:12" x14ac:dyDescent="0.2">
      <c r="A10" s="119" t="s">
        <v>256</v>
      </c>
      <c r="B10" s="120">
        <v>1</v>
      </c>
      <c r="C10" s="121"/>
      <c r="D10" s="122"/>
      <c r="E10" s="118">
        <f t="shared" si="1"/>
        <v>1</v>
      </c>
      <c r="F10" s="109"/>
      <c r="G10" s="119" t="s">
        <v>256</v>
      </c>
      <c r="H10" s="124">
        <v>0</v>
      </c>
      <c r="I10" s="121"/>
      <c r="J10" s="122"/>
      <c r="K10" s="85">
        <f t="shared" si="0"/>
        <v>0</v>
      </c>
    </row>
    <row r="11" spans="1:12" x14ac:dyDescent="0.2">
      <c r="A11" s="119" t="s">
        <v>257</v>
      </c>
      <c r="B11" s="120">
        <v>1</v>
      </c>
      <c r="C11" s="121">
        <v>1</v>
      </c>
      <c r="D11" s="122"/>
      <c r="E11" s="118">
        <f t="shared" si="1"/>
        <v>2</v>
      </c>
      <c r="F11" s="109"/>
      <c r="G11" s="119" t="s">
        <v>257</v>
      </c>
      <c r="H11" s="120">
        <v>1</v>
      </c>
      <c r="I11" s="121">
        <v>1</v>
      </c>
      <c r="J11" s="122"/>
      <c r="K11" s="85">
        <f t="shared" si="0"/>
        <v>2</v>
      </c>
    </row>
    <row r="12" spans="1:12" x14ac:dyDescent="0.2">
      <c r="A12" s="119" t="s">
        <v>258</v>
      </c>
      <c r="B12" s="120">
        <v>1</v>
      </c>
      <c r="C12" s="121"/>
      <c r="D12" s="122"/>
      <c r="E12" s="118">
        <f t="shared" si="1"/>
        <v>1</v>
      </c>
      <c r="F12" s="109"/>
      <c r="G12" s="119" t="s">
        <v>258</v>
      </c>
      <c r="H12" s="120">
        <v>1</v>
      </c>
      <c r="I12" s="121"/>
      <c r="J12" s="122"/>
      <c r="K12" s="85">
        <f t="shared" si="0"/>
        <v>1</v>
      </c>
    </row>
    <row r="13" spans="1:12" x14ac:dyDescent="0.2">
      <c r="A13" s="119" t="s">
        <v>224</v>
      </c>
      <c r="B13" s="120">
        <v>1</v>
      </c>
      <c r="C13" s="121"/>
      <c r="D13" s="122"/>
      <c r="E13" s="118">
        <f t="shared" si="1"/>
        <v>1</v>
      </c>
      <c r="F13" s="109"/>
      <c r="G13" s="119" t="s">
        <v>224</v>
      </c>
      <c r="H13" s="120">
        <v>1</v>
      </c>
      <c r="I13" s="121"/>
      <c r="J13" s="122"/>
      <c r="K13" s="85">
        <f t="shared" si="0"/>
        <v>1</v>
      </c>
    </row>
    <row r="14" spans="1:12" x14ac:dyDescent="0.2">
      <c r="A14" s="119" t="s">
        <v>225</v>
      </c>
      <c r="B14" s="120"/>
      <c r="C14" s="121">
        <v>1</v>
      </c>
      <c r="D14" s="122"/>
      <c r="E14" s="118">
        <f t="shared" si="1"/>
        <v>1</v>
      </c>
      <c r="F14" s="109"/>
      <c r="G14" s="119" t="s">
        <v>225</v>
      </c>
      <c r="H14" s="120"/>
      <c r="I14" s="125">
        <v>0</v>
      </c>
      <c r="J14" s="126">
        <v>1</v>
      </c>
      <c r="K14" s="85">
        <f t="shared" si="0"/>
        <v>1</v>
      </c>
    </row>
    <row r="15" spans="1:12" x14ac:dyDescent="0.2">
      <c r="A15" s="119" t="s">
        <v>226</v>
      </c>
      <c r="B15" s="120"/>
      <c r="C15" s="121">
        <v>1</v>
      </c>
      <c r="D15" s="122"/>
      <c r="E15" s="118">
        <f t="shared" si="1"/>
        <v>1</v>
      </c>
      <c r="F15" s="109"/>
      <c r="G15" s="119" t="s">
        <v>226</v>
      </c>
      <c r="H15" s="120"/>
      <c r="I15" s="121">
        <v>1</v>
      </c>
      <c r="J15" s="122"/>
      <c r="K15" s="85">
        <f t="shared" si="0"/>
        <v>1</v>
      </c>
    </row>
    <row r="16" spans="1:12" x14ac:dyDescent="0.2">
      <c r="A16" s="119" t="s">
        <v>227</v>
      </c>
      <c r="B16" s="120"/>
      <c r="C16" s="121">
        <v>1</v>
      </c>
      <c r="D16" s="122"/>
      <c r="E16" s="118">
        <f t="shared" si="1"/>
        <v>1</v>
      </c>
      <c r="F16" s="109"/>
      <c r="G16" s="119" t="s">
        <v>227</v>
      </c>
      <c r="H16" s="120"/>
      <c r="I16" s="121">
        <v>1</v>
      </c>
      <c r="J16" s="122"/>
      <c r="K16" s="85">
        <f t="shared" si="0"/>
        <v>1</v>
      </c>
    </row>
    <row r="17" spans="1:11" x14ac:dyDescent="0.2">
      <c r="A17" s="119" t="s">
        <v>228</v>
      </c>
      <c r="B17" s="120">
        <v>1</v>
      </c>
      <c r="C17" s="121"/>
      <c r="D17" s="122"/>
      <c r="E17" s="118">
        <f t="shared" si="1"/>
        <v>1</v>
      </c>
      <c r="F17" s="109"/>
      <c r="G17" s="119" t="s">
        <v>228</v>
      </c>
      <c r="H17" s="120">
        <v>1</v>
      </c>
      <c r="I17" s="121"/>
      <c r="J17" s="122"/>
      <c r="K17" s="85">
        <f t="shared" si="0"/>
        <v>1</v>
      </c>
    </row>
    <row r="18" spans="1:11" x14ac:dyDescent="0.2">
      <c r="A18" s="119" t="s">
        <v>229</v>
      </c>
      <c r="B18" s="120">
        <v>1</v>
      </c>
      <c r="C18" s="121"/>
      <c r="D18" s="122"/>
      <c r="E18" s="118">
        <f t="shared" si="1"/>
        <v>1</v>
      </c>
      <c r="F18" s="109"/>
      <c r="G18" s="119" t="s">
        <v>229</v>
      </c>
      <c r="H18" s="120">
        <v>1</v>
      </c>
      <c r="I18" s="121"/>
      <c r="J18" s="122"/>
      <c r="K18" s="85">
        <f t="shared" si="0"/>
        <v>1</v>
      </c>
    </row>
    <row r="19" spans="1:11" x14ac:dyDescent="0.2">
      <c r="A19" s="119" t="s">
        <v>230</v>
      </c>
      <c r="B19" s="120">
        <v>1</v>
      </c>
      <c r="C19" s="121"/>
      <c r="D19" s="122"/>
      <c r="E19" s="118">
        <f t="shared" si="1"/>
        <v>1</v>
      </c>
      <c r="F19" s="109"/>
      <c r="G19" s="119" t="s">
        <v>230</v>
      </c>
      <c r="H19" s="120">
        <v>1</v>
      </c>
      <c r="I19" s="121"/>
      <c r="J19" s="122"/>
      <c r="K19" s="85">
        <f t="shared" si="0"/>
        <v>1</v>
      </c>
    </row>
    <row r="20" spans="1:11" x14ac:dyDescent="0.2">
      <c r="A20" s="119" t="s">
        <v>231</v>
      </c>
      <c r="B20" s="120"/>
      <c r="C20" s="121">
        <v>1</v>
      </c>
      <c r="D20" s="122"/>
      <c r="E20" s="118">
        <f t="shared" si="1"/>
        <v>1</v>
      </c>
      <c r="F20" s="109"/>
      <c r="G20" s="119" t="s">
        <v>231</v>
      </c>
      <c r="H20" s="120"/>
      <c r="I20" s="121">
        <v>1</v>
      </c>
      <c r="J20" s="122"/>
      <c r="K20" s="85">
        <f t="shared" si="0"/>
        <v>1</v>
      </c>
    </row>
    <row r="21" spans="1:11" x14ac:dyDescent="0.2">
      <c r="A21" s="119" t="s">
        <v>232</v>
      </c>
      <c r="B21" s="120">
        <v>1</v>
      </c>
      <c r="C21" s="121">
        <v>1</v>
      </c>
      <c r="D21" s="122"/>
      <c r="E21" s="118">
        <f t="shared" si="1"/>
        <v>2</v>
      </c>
      <c r="F21" s="109"/>
      <c r="G21" s="119" t="s">
        <v>232</v>
      </c>
      <c r="H21" s="120">
        <v>1</v>
      </c>
      <c r="I21" s="121">
        <v>1</v>
      </c>
      <c r="J21" s="122"/>
      <c r="K21" s="85">
        <f t="shared" si="0"/>
        <v>2</v>
      </c>
    </row>
    <row r="22" spans="1:11" x14ac:dyDescent="0.2">
      <c r="A22" s="119" t="s">
        <v>233</v>
      </c>
      <c r="B22" s="120">
        <v>1</v>
      </c>
      <c r="C22" s="121"/>
      <c r="D22" s="122"/>
      <c r="E22" s="118">
        <f t="shared" si="1"/>
        <v>1</v>
      </c>
      <c r="F22" s="109"/>
      <c r="G22" s="119" t="s">
        <v>233</v>
      </c>
      <c r="H22" s="120">
        <v>1</v>
      </c>
      <c r="I22" s="121"/>
      <c r="J22" s="122"/>
      <c r="K22" s="85">
        <f t="shared" si="0"/>
        <v>1</v>
      </c>
    </row>
    <row r="23" spans="1:11" x14ac:dyDescent="0.2">
      <c r="A23" s="119" t="s">
        <v>234</v>
      </c>
      <c r="B23" s="120">
        <v>1</v>
      </c>
      <c r="C23" s="121"/>
      <c r="D23" s="122"/>
      <c r="E23" s="118">
        <f t="shared" si="1"/>
        <v>1</v>
      </c>
      <c r="F23" s="109"/>
      <c r="G23" s="119" t="s">
        <v>234</v>
      </c>
      <c r="H23" s="120">
        <v>1</v>
      </c>
      <c r="I23" s="121"/>
      <c r="J23" s="122"/>
      <c r="K23" s="85">
        <f t="shared" si="0"/>
        <v>1</v>
      </c>
    </row>
    <row r="24" spans="1:11" x14ac:dyDescent="0.2">
      <c r="A24" s="119" t="s">
        <v>235</v>
      </c>
      <c r="B24" s="120"/>
      <c r="C24" s="121">
        <v>1</v>
      </c>
      <c r="D24" s="122"/>
      <c r="E24" s="118">
        <f t="shared" si="1"/>
        <v>1</v>
      </c>
      <c r="F24" s="109"/>
      <c r="G24" s="119" t="s">
        <v>235</v>
      </c>
      <c r="H24" s="120"/>
      <c r="I24" s="121">
        <v>1</v>
      </c>
      <c r="J24" s="122"/>
      <c r="K24" s="85">
        <f t="shared" si="0"/>
        <v>1</v>
      </c>
    </row>
    <row r="25" spans="1:11" x14ac:dyDescent="0.2">
      <c r="A25" s="119" t="s">
        <v>236</v>
      </c>
      <c r="B25" s="120"/>
      <c r="C25" s="121">
        <v>1</v>
      </c>
      <c r="D25" s="122"/>
      <c r="E25" s="118">
        <f t="shared" si="1"/>
        <v>1</v>
      </c>
      <c r="F25" s="109"/>
      <c r="G25" s="119" t="s">
        <v>236</v>
      </c>
      <c r="H25" s="120"/>
      <c r="I25" s="121">
        <v>1</v>
      </c>
      <c r="J25" s="122"/>
      <c r="K25" s="85">
        <f t="shared" si="0"/>
        <v>1</v>
      </c>
    </row>
    <row r="26" spans="1:11" x14ac:dyDescent="0.2">
      <c r="A26" s="119" t="s">
        <v>237</v>
      </c>
      <c r="B26" s="120"/>
      <c r="C26" s="121">
        <v>1</v>
      </c>
      <c r="D26" s="122"/>
      <c r="E26" s="118">
        <f t="shared" si="1"/>
        <v>1</v>
      </c>
      <c r="F26" s="109"/>
      <c r="G26" s="119" t="s">
        <v>237</v>
      </c>
      <c r="H26" s="120"/>
      <c r="I26" s="121">
        <v>1</v>
      </c>
      <c r="J26" s="122"/>
      <c r="K26" s="85">
        <f t="shared" si="0"/>
        <v>1</v>
      </c>
    </row>
    <row r="27" spans="1:11" x14ac:dyDescent="0.2">
      <c r="A27" s="119" t="s">
        <v>238</v>
      </c>
      <c r="B27" s="120">
        <v>1</v>
      </c>
      <c r="C27" s="121">
        <v>1</v>
      </c>
      <c r="D27" s="122"/>
      <c r="E27" s="118">
        <f t="shared" si="1"/>
        <v>2</v>
      </c>
      <c r="F27" s="109"/>
      <c r="G27" s="119" t="s">
        <v>238</v>
      </c>
      <c r="H27" s="120">
        <v>1</v>
      </c>
      <c r="I27" s="121">
        <v>1</v>
      </c>
      <c r="J27" s="122"/>
      <c r="K27" s="85">
        <f t="shared" si="0"/>
        <v>2</v>
      </c>
    </row>
    <row r="28" spans="1:11" x14ac:dyDescent="0.2">
      <c r="A28" s="119" t="s">
        <v>239</v>
      </c>
      <c r="B28" s="120"/>
      <c r="C28" s="121">
        <v>1</v>
      </c>
      <c r="D28" s="122"/>
      <c r="E28" s="118">
        <f t="shared" si="1"/>
        <v>1</v>
      </c>
      <c r="F28" s="109"/>
      <c r="G28" s="119" t="s">
        <v>239</v>
      </c>
      <c r="H28" s="120"/>
      <c r="I28" s="121">
        <v>1</v>
      </c>
      <c r="J28" s="122"/>
      <c r="K28" s="85">
        <f t="shared" si="0"/>
        <v>1</v>
      </c>
    </row>
    <row r="29" spans="1:11" x14ac:dyDescent="0.2">
      <c r="A29" s="119" t="s">
        <v>240</v>
      </c>
      <c r="B29" s="120">
        <v>1</v>
      </c>
      <c r="C29" s="121">
        <v>1</v>
      </c>
      <c r="D29" s="122"/>
      <c r="E29" s="118">
        <f t="shared" si="1"/>
        <v>2</v>
      </c>
      <c r="F29" s="109"/>
      <c r="G29" s="119" t="s">
        <v>240</v>
      </c>
      <c r="H29" s="120">
        <v>1</v>
      </c>
      <c r="I29" s="121">
        <v>1</v>
      </c>
      <c r="J29" s="122"/>
      <c r="K29" s="85">
        <f t="shared" si="0"/>
        <v>2</v>
      </c>
    </row>
    <row r="30" spans="1:11" x14ac:dyDescent="0.2">
      <c r="A30" s="119" t="s">
        <v>241</v>
      </c>
      <c r="B30" s="120"/>
      <c r="C30" s="121">
        <v>1</v>
      </c>
      <c r="D30" s="122"/>
      <c r="E30" s="118">
        <f t="shared" si="1"/>
        <v>1</v>
      </c>
      <c r="F30" s="109"/>
      <c r="G30" s="119" t="s">
        <v>241</v>
      </c>
      <c r="H30" s="120"/>
      <c r="I30" s="121">
        <v>1</v>
      </c>
      <c r="J30" s="122"/>
      <c r="K30" s="85">
        <f t="shared" si="0"/>
        <v>1</v>
      </c>
    </row>
    <row r="31" spans="1:11" x14ac:dyDescent="0.2">
      <c r="A31" s="119" t="s">
        <v>335</v>
      </c>
      <c r="B31" s="120">
        <v>1</v>
      </c>
      <c r="C31" s="121"/>
      <c r="D31" s="122"/>
      <c r="E31" s="118">
        <f t="shared" si="1"/>
        <v>1</v>
      </c>
      <c r="F31" s="109"/>
      <c r="G31" s="119" t="s">
        <v>335</v>
      </c>
      <c r="H31" s="124">
        <v>0</v>
      </c>
      <c r="I31" s="121"/>
      <c r="J31" s="122"/>
      <c r="K31" s="85">
        <f t="shared" si="0"/>
        <v>0</v>
      </c>
    </row>
    <row r="32" spans="1:11" x14ac:dyDescent="0.2">
      <c r="A32" s="119" t="s">
        <v>334</v>
      </c>
      <c r="B32" s="120">
        <v>1</v>
      </c>
      <c r="C32" s="121"/>
      <c r="D32" s="122"/>
      <c r="E32" s="118">
        <f t="shared" si="1"/>
        <v>1</v>
      </c>
      <c r="F32" s="109"/>
      <c r="G32" s="119" t="s">
        <v>334</v>
      </c>
      <c r="H32" s="124">
        <v>0</v>
      </c>
      <c r="I32" s="121"/>
      <c r="J32" s="122"/>
      <c r="K32" s="85">
        <f t="shared" si="0"/>
        <v>0</v>
      </c>
    </row>
    <row r="33" spans="1:11" x14ac:dyDescent="0.2">
      <c r="A33" s="119" t="s">
        <v>242</v>
      </c>
      <c r="B33" s="120"/>
      <c r="C33" s="121">
        <v>1</v>
      </c>
      <c r="D33" s="122"/>
      <c r="E33" s="118">
        <f t="shared" si="1"/>
        <v>1</v>
      </c>
      <c r="F33" s="109"/>
      <c r="G33" s="119" t="s">
        <v>242</v>
      </c>
      <c r="H33" s="120"/>
      <c r="I33" s="121">
        <v>1</v>
      </c>
      <c r="J33" s="122"/>
      <c r="K33" s="85">
        <f>SUM(H33:J33)</f>
        <v>1</v>
      </c>
    </row>
    <row r="34" spans="1:11" x14ac:dyDescent="0.2">
      <c r="A34" s="119" t="s">
        <v>336</v>
      </c>
      <c r="B34" s="120"/>
      <c r="C34" s="121">
        <v>1</v>
      </c>
      <c r="D34" s="122"/>
      <c r="E34" s="118">
        <f t="shared" si="1"/>
        <v>1</v>
      </c>
      <c r="F34" s="109"/>
      <c r="G34" s="119" t="s">
        <v>336</v>
      </c>
      <c r="H34" s="120"/>
      <c r="I34" s="121">
        <v>1</v>
      </c>
      <c r="J34" s="122"/>
      <c r="K34" s="85">
        <f t="shared" si="0"/>
        <v>1</v>
      </c>
    </row>
    <row r="35" spans="1:11" x14ac:dyDescent="0.2">
      <c r="A35" s="119" t="s">
        <v>243</v>
      </c>
      <c r="B35" s="120"/>
      <c r="C35" s="121">
        <v>1</v>
      </c>
      <c r="D35" s="122"/>
      <c r="E35" s="118">
        <f t="shared" si="1"/>
        <v>1</v>
      </c>
      <c r="F35" s="109"/>
      <c r="G35" s="119" t="s">
        <v>243</v>
      </c>
      <c r="H35" s="120"/>
      <c r="I35" s="121">
        <v>1</v>
      </c>
      <c r="J35" s="122"/>
      <c r="K35" s="85">
        <f t="shared" si="0"/>
        <v>1</v>
      </c>
    </row>
    <row r="36" spans="1:11" x14ac:dyDescent="0.2">
      <c r="A36" s="119" t="s">
        <v>337</v>
      </c>
      <c r="B36" s="120"/>
      <c r="C36" s="121">
        <v>1</v>
      </c>
      <c r="D36" s="122"/>
      <c r="E36" s="118">
        <f t="shared" si="1"/>
        <v>1</v>
      </c>
      <c r="F36" s="109"/>
      <c r="G36" s="119" t="s">
        <v>337</v>
      </c>
      <c r="H36" s="120"/>
      <c r="I36" s="121">
        <v>1</v>
      </c>
      <c r="J36" s="122"/>
      <c r="K36" s="85">
        <f t="shared" si="0"/>
        <v>1</v>
      </c>
    </row>
    <row r="37" spans="1:11" x14ac:dyDescent="0.2">
      <c r="A37" s="119" t="s">
        <v>338</v>
      </c>
      <c r="B37" s="120"/>
      <c r="C37" s="121">
        <v>1</v>
      </c>
      <c r="D37" s="122"/>
      <c r="E37" s="118">
        <f t="shared" si="1"/>
        <v>1</v>
      </c>
      <c r="F37" s="109"/>
      <c r="G37" s="119" t="s">
        <v>338</v>
      </c>
      <c r="H37" s="120"/>
      <c r="I37" s="125">
        <v>0</v>
      </c>
      <c r="J37" s="122"/>
      <c r="K37" s="85">
        <f t="shared" si="0"/>
        <v>0</v>
      </c>
    </row>
    <row r="38" spans="1:11" x14ac:dyDescent="0.2">
      <c r="A38" s="119" t="s">
        <v>339</v>
      </c>
      <c r="B38" s="120"/>
      <c r="C38" s="121">
        <v>1</v>
      </c>
      <c r="D38" s="122"/>
      <c r="E38" s="118">
        <f t="shared" si="1"/>
        <v>1</v>
      </c>
      <c r="F38" s="109"/>
      <c r="G38" s="119" t="s">
        <v>339</v>
      </c>
      <c r="H38" s="120"/>
      <c r="I38" s="121">
        <v>1</v>
      </c>
      <c r="J38" s="122"/>
      <c r="K38" s="85">
        <f t="shared" si="0"/>
        <v>1</v>
      </c>
    </row>
    <row r="39" spans="1:11" x14ac:dyDescent="0.2">
      <c r="A39" s="119" t="s">
        <v>244</v>
      </c>
      <c r="B39" s="120">
        <v>1</v>
      </c>
      <c r="C39" s="121">
        <v>1</v>
      </c>
      <c r="D39" s="122"/>
      <c r="E39" s="118">
        <f t="shared" si="1"/>
        <v>2</v>
      </c>
      <c r="F39" s="109"/>
      <c r="G39" s="119" t="s">
        <v>244</v>
      </c>
      <c r="H39" s="120">
        <v>1</v>
      </c>
      <c r="I39" s="121">
        <v>1</v>
      </c>
      <c r="J39" s="122"/>
      <c r="K39" s="85">
        <f t="shared" si="0"/>
        <v>2</v>
      </c>
    </row>
    <row r="40" spans="1:11" x14ac:dyDescent="0.2">
      <c r="A40" s="119" t="s">
        <v>340</v>
      </c>
      <c r="B40" s="120">
        <v>1</v>
      </c>
      <c r="C40" s="121"/>
      <c r="D40" s="122"/>
      <c r="E40" s="118">
        <f t="shared" si="1"/>
        <v>1</v>
      </c>
      <c r="F40" s="109"/>
      <c r="G40" s="119" t="s">
        <v>340</v>
      </c>
      <c r="H40" s="120">
        <v>1</v>
      </c>
      <c r="I40" s="121"/>
      <c r="J40" s="122"/>
      <c r="K40" s="85">
        <f t="shared" si="0"/>
        <v>1</v>
      </c>
    </row>
    <row r="41" spans="1:11" x14ac:dyDescent="0.2">
      <c r="A41" s="119" t="s">
        <v>341</v>
      </c>
      <c r="B41" s="120">
        <v>1</v>
      </c>
      <c r="C41" s="121"/>
      <c r="D41" s="122"/>
      <c r="E41" s="118">
        <f t="shared" si="1"/>
        <v>1</v>
      </c>
      <c r="F41" s="109"/>
      <c r="G41" s="119" t="s">
        <v>341</v>
      </c>
      <c r="H41" s="120">
        <v>1</v>
      </c>
      <c r="I41" s="121"/>
      <c r="J41" s="122"/>
      <c r="K41" s="85">
        <f t="shared" si="0"/>
        <v>1</v>
      </c>
    </row>
    <row r="42" spans="1:11" x14ac:dyDescent="0.2">
      <c r="A42" s="119" t="s">
        <v>342</v>
      </c>
      <c r="B42" s="120"/>
      <c r="C42" s="121">
        <v>1</v>
      </c>
      <c r="D42" s="122"/>
      <c r="E42" s="118">
        <f t="shared" si="1"/>
        <v>1</v>
      </c>
      <c r="F42" s="109"/>
      <c r="G42" s="119" t="s">
        <v>342</v>
      </c>
      <c r="H42" s="120"/>
      <c r="I42" s="121">
        <v>1</v>
      </c>
      <c r="J42" s="122"/>
      <c r="K42" s="85">
        <f t="shared" si="0"/>
        <v>1</v>
      </c>
    </row>
    <row r="43" spans="1:11" x14ac:dyDescent="0.2">
      <c r="A43" s="119" t="s">
        <v>245</v>
      </c>
      <c r="B43" s="120">
        <v>1</v>
      </c>
      <c r="C43" s="121"/>
      <c r="D43" s="122"/>
      <c r="E43" s="118">
        <f t="shared" si="1"/>
        <v>1</v>
      </c>
      <c r="F43" s="109"/>
      <c r="G43" s="119" t="s">
        <v>245</v>
      </c>
      <c r="H43" s="120">
        <v>1</v>
      </c>
      <c r="I43" s="121"/>
      <c r="J43" s="122"/>
      <c r="K43" s="85">
        <f t="shared" si="0"/>
        <v>1</v>
      </c>
    </row>
    <row r="44" spans="1:11" x14ac:dyDescent="0.2">
      <c r="A44" s="119" t="s">
        <v>246</v>
      </c>
      <c r="B44" s="120">
        <v>1</v>
      </c>
      <c r="C44" s="121">
        <v>1</v>
      </c>
      <c r="D44" s="122"/>
      <c r="E44" s="118">
        <f>SUM(B44:D44)</f>
        <v>2</v>
      </c>
      <c r="F44" s="109"/>
      <c r="G44" s="119" t="s">
        <v>246</v>
      </c>
      <c r="H44" s="120">
        <v>1</v>
      </c>
      <c r="I44" s="121">
        <v>1</v>
      </c>
      <c r="J44" s="122"/>
      <c r="K44" s="85">
        <f t="shared" si="0"/>
        <v>2</v>
      </c>
    </row>
    <row r="45" spans="1:11" x14ac:dyDescent="0.2">
      <c r="A45" s="119" t="s">
        <v>247</v>
      </c>
      <c r="B45" s="120"/>
      <c r="C45" s="121">
        <v>1</v>
      </c>
      <c r="D45" s="122"/>
      <c r="E45" s="118">
        <f t="shared" si="1"/>
        <v>1</v>
      </c>
      <c r="F45" s="109"/>
      <c r="G45" s="119" t="s">
        <v>247</v>
      </c>
      <c r="H45" s="120"/>
      <c r="I45" s="121">
        <v>1</v>
      </c>
      <c r="J45" s="122"/>
      <c r="K45" s="85">
        <f t="shared" si="0"/>
        <v>1</v>
      </c>
    </row>
    <row r="46" spans="1:11" x14ac:dyDescent="0.2">
      <c r="A46" s="119" t="s">
        <v>343</v>
      </c>
      <c r="B46" s="120">
        <v>1</v>
      </c>
      <c r="C46" s="121">
        <v>1</v>
      </c>
      <c r="D46" s="122"/>
      <c r="E46" s="118">
        <f t="shared" si="1"/>
        <v>2</v>
      </c>
      <c r="F46" s="109"/>
      <c r="G46" s="119" t="s">
        <v>343</v>
      </c>
      <c r="H46" s="120">
        <v>1</v>
      </c>
      <c r="I46" s="121">
        <v>1</v>
      </c>
      <c r="J46" s="122"/>
      <c r="K46" s="85">
        <f t="shared" si="0"/>
        <v>2</v>
      </c>
    </row>
    <row r="47" spans="1:11" x14ac:dyDescent="0.2">
      <c r="A47" s="119" t="s">
        <v>345</v>
      </c>
      <c r="B47" s="120">
        <v>1</v>
      </c>
      <c r="C47" s="121"/>
      <c r="D47" s="122"/>
      <c r="E47" s="118">
        <f t="shared" si="1"/>
        <v>1</v>
      </c>
      <c r="F47" s="109"/>
      <c r="G47" s="119" t="s">
        <v>345</v>
      </c>
      <c r="H47" s="120">
        <v>1</v>
      </c>
      <c r="I47" s="121"/>
      <c r="J47" s="122"/>
      <c r="K47" s="85">
        <f t="shared" si="0"/>
        <v>1</v>
      </c>
    </row>
    <row r="48" spans="1:11" x14ac:dyDescent="0.2">
      <c r="A48" s="119" t="s">
        <v>248</v>
      </c>
      <c r="B48" s="120">
        <v>1</v>
      </c>
      <c r="C48" s="121"/>
      <c r="D48" s="122"/>
      <c r="E48" s="118">
        <f t="shared" si="1"/>
        <v>1</v>
      </c>
      <c r="F48" s="109"/>
      <c r="G48" s="119" t="s">
        <v>248</v>
      </c>
      <c r="H48" s="124">
        <v>0</v>
      </c>
      <c r="I48" s="121"/>
      <c r="J48" s="122"/>
      <c r="K48" s="85">
        <f t="shared" si="0"/>
        <v>0</v>
      </c>
    </row>
    <row r="49" spans="1:11" x14ac:dyDescent="0.2">
      <c r="A49" s="119" t="s">
        <v>268</v>
      </c>
      <c r="B49" s="120">
        <v>1</v>
      </c>
      <c r="C49" s="121"/>
      <c r="D49" s="122"/>
      <c r="E49" s="118">
        <f t="shared" si="1"/>
        <v>1</v>
      </c>
      <c r="F49" s="109"/>
      <c r="G49" s="119" t="s">
        <v>268</v>
      </c>
      <c r="H49" s="124">
        <v>0</v>
      </c>
      <c r="I49" s="121"/>
      <c r="J49" s="122"/>
      <c r="K49" s="85">
        <f t="shared" si="0"/>
        <v>0</v>
      </c>
    </row>
    <row r="50" spans="1:11" x14ac:dyDescent="0.2">
      <c r="A50" s="114" t="s">
        <v>251</v>
      </c>
      <c r="B50" s="115">
        <v>2</v>
      </c>
      <c r="C50" s="116"/>
      <c r="D50" s="117"/>
      <c r="E50" s="127">
        <f>SUM(B50:D50)</f>
        <v>2</v>
      </c>
      <c r="F50" s="109"/>
      <c r="G50" s="128" t="s">
        <v>269</v>
      </c>
      <c r="H50" s="129">
        <f>SUM(H5:H49)</f>
        <v>22</v>
      </c>
      <c r="I50" s="129">
        <f t="shared" ref="I50:K50" si="2">SUM(I5:I49)</f>
        <v>22</v>
      </c>
      <c r="J50" s="129">
        <f t="shared" si="2"/>
        <v>1</v>
      </c>
      <c r="K50" s="129">
        <f t="shared" si="2"/>
        <v>45</v>
      </c>
    </row>
    <row r="51" spans="1:11" ht="18" customHeight="1" x14ac:dyDescent="0.2">
      <c r="A51" s="130" t="s">
        <v>252</v>
      </c>
      <c r="B51" s="105">
        <f t="shared" ref="B51:C51" si="3">SUM(B5:B50)</f>
        <v>29</v>
      </c>
      <c r="C51" s="105">
        <f t="shared" si="3"/>
        <v>24</v>
      </c>
      <c r="D51" s="105">
        <f>SUM(D5:D50)</f>
        <v>1</v>
      </c>
      <c r="E51" s="105">
        <f>SUM(E5:E50)</f>
        <v>54</v>
      </c>
      <c r="F51" s="109"/>
    </row>
    <row r="52" spans="1:11" x14ac:dyDescent="0.2">
      <c r="A52" s="71" t="s">
        <v>253</v>
      </c>
    </row>
    <row r="54" spans="1:11" x14ac:dyDescent="0.2">
      <c r="A54" s="100" t="s">
        <v>272</v>
      </c>
    </row>
    <row r="55" spans="1:11" x14ac:dyDescent="0.2">
      <c r="A55" s="132" t="s">
        <v>271</v>
      </c>
    </row>
    <row r="56" spans="1:11" x14ac:dyDescent="0.2">
      <c r="A56" s="133" t="s">
        <v>270</v>
      </c>
    </row>
  </sheetData>
  <mergeCells count="3">
    <mergeCell ref="A1:L1"/>
    <mergeCell ref="A3:E3"/>
    <mergeCell ref="G3:K3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6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tabSelected="1" topLeftCell="E4" zoomScale="90" zoomScaleNormal="90" workbookViewId="0">
      <selection activeCell="K22" sqref="K22"/>
    </sheetView>
  </sheetViews>
  <sheetFormatPr defaultColWidth="9.140625" defaultRowHeight="12.75" x14ac:dyDescent="0.2"/>
  <cols>
    <col min="1" max="1" width="4.7109375" style="71" bestFit="1" customWidth="1"/>
    <col min="2" max="2" width="7.28515625" style="71" bestFit="1" customWidth="1"/>
    <col min="3" max="3" width="57" style="71" customWidth="1"/>
    <col min="4" max="4" width="16.42578125" style="71" bestFit="1" customWidth="1"/>
    <col min="5" max="5" width="17.42578125" style="71" customWidth="1"/>
    <col min="6" max="6" width="17.28515625" style="71" customWidth="1"/>
    <col min="7" max="7" width="17.7109375" style="71" customWidth="1"/>
    <col min="8" max="8" width="17.85546875" style="71" customWidth="1"/>
    <col min="9" max="9" width="18.140625" style="71" bestFit="1" customWidth="1"/>
    <col min="10" max="10" width="12.5703125" style="71" customWidth="1"/>
    <col min="11" max="11" width="15" style="71" customWidth="1"/>
    <col min="12" max="12" width="15.42578125" style="71" customWidth="1"/>
    <col min="13" max="14" width="14.5703125" style="71" customWidth="1"/>
    <col min="15" max="15" width="16.5703125" style="71" bestFit="1" customWidth="1"/>
    <col min="16" max="16384" width="9.140625" style="71"/>
  </cols>
  <sheetData>
    <row r="2" spans="1:15" ht="31.5" customHeight="1" x14ac:dyDescent="0.2">
      <c r="A2" s="265" t="s">
        <v>299</v>
      </c>
      <c r="B2" s="266"/>
      <c r="C2" s="266"/>
      <c r="D2" s="266"/>
      <c r="E2" s="266"/>
      <c r="F2" s="266"/>
      <c r="G2" s="266"/>
      <c r="H2" s="266"/>
      <c r="I2" s="266"/>
      <c r="J2" s="266"/>
      <c r="K2" s="267"/>
      <c r="L2" s="264" t="s">
        <v>387</v>
      </c>
      <c r="M2" s="264"/>
      <c r="N2" s="264"/>
      <c r="O2" s="264"/>
    </row>
    <row r="3" spans="1:15" ht="51" x14ac:dyDescent="0.2">
      <c r="A3" s="136" t="s">
        <v>274</v>
      </c>
      <c r="B3" s="136" t="s">
        <v>276</v>
      </c>
      <c r="C3" s="136" t="s">
        <v>275</v>
      </c>
      <c r="D3" s="136" t="s">
        <v>277</v>
      </c>
      <c r="E3" s="136" t="s">
        <v>292</v>
      </c>
      <c r="F3" s="136" t="s">
        <v>293</v>
      </c>
      <c r="G3" s="136" t="s">
        <v>371</v>
      </c>
      <c r="H3" s="87" t="s">
        <v>295</v>
      </c>
      <c r="I3" s="87" t="s">
        <v>298</v>
      </c>
      <c r="J3" s="87" t="s">
        <v>357</v>
      </c>
      <c r="K3" s="87" t="s">
        <v>373</v>
      </c>
      <c r="L3" s="145" t="s">
        <v>309</v>
      </c>
      <c r="M3" s="145" t="s">
        <v>308</v>
      </c>
      <c r="N3" s="145" t="s">
        <v>357</v>
      </c>
      <c r="O3" s="145" t="s">
        <v>370</v>
      </c>
    </row>
    <row r="4" spans="1:15" ht="25.5" x14ac:dyDescent="0.2">
      <c r="A4" s="85" t="s">
        <v>278</v>
      </c>
      <c r="B4" s="41" t="s">
        <v>280</v>
      </c>
      <c r="C4" s="142" t="s">
        <v>279</v>
      </c>
      <c r="D4" s="41" t="s">
        <v>281</v>
      </c>
      <c r="E4" s="89">
        <f>53600*0.6</f>
        <v>32160</v>
      </c>
      <c r="F4" s="89">
        <f>E4*12</f>
        <v>385920</v>
      </c>
      <c r="G4" s="89">
        <f>E4*60</f>
        <v>1929600</v>
      </c>
      <c r="H4" s="138">
        <v>0.15379999999999999</v>
      </c>
      <c r="I4" s="138">
        <f>E4*H4</f>
        <v>4946.2079999999996</v>
      </c>
      <c r="J4" s="138">
        <f>I4*12</f>
        <v>59354.495999999999</v>
      </c>
      <c r="K4" s="138">
        <f>I4*60</f>
        <v>296772.47999999998</v>
      </c>
      <c r="L4" s="154">
        <v>0.12</v>
      </c>
      <c r="M4" s="154">
        <f>E4*L4</f>
        <v>3859.2</v>
      </c>
      <c r="N4" s="154">
        <f>M4*12</f>
        <v>46310.399999999994</v>
      </c>
      <c r="O4" s="154">
        <f>M4*60</f>
        <v>231552</v>
      </c>
    </row>
    <row r="5" spans="1:15" ht="25.5" x14ac:dyDescent="0.2">
      <c r="A5" s="85" t="s">
        <v>282</v>
      </c>
      <c r="B5" s="41" t="s">
        <v>284</v>
      </c>
      <c r="C5" s="142" t="s">
        <v>283</v>
      </c>
      <c r="D5" s="41" t="s">
        <v>285</v>
      </c>
      <c r="E5" s="89">
        <f>53600*0.4</f>
        <v>21440</v>
      </c>
      <c r="F5" s="89">
        <f t="shared" ref="F5:F7" si="0">E5*12</f>
        <v>257280</v>
      </c>
      <c r="G5" s="89">
        <f t="shared" ref="G5" si="1">E5*60</f>
        <v>1286400</v>
      </c>
      <c r="H5" s="138">
        <v>0.04</v>
      </c>
      <c r="I5" s="138">
        <f>E5*H5</f>
        <v>857.6</v>
      </c>
      <c r="J5" s="138">
        <f t="shared" ref="J5:J9" si="2">I5*12</f>
        <v>10291.200000000001</v>
      </c>
      <c r="K5" s="138">
        <f t="shared" ref="K5:K9" si="3">I5*60</f>
        <v>51456</v>
      </c>
      <c r="L5" s="154">
        <v>0.04</v>
      </c>
      <c r="M5" s="154">
        <f>E5*L5</f>
        <v>857.6</v>
      </c>
      <c r="N5" s="154">
        <f t="shared" ref="N5:N9" si="4">M5*12</f>
        <v>10291.200000000001</v>
      </c>
      <c r="O5" s="154">
        <f t="shared" ref="O5:O9" si="5">M5*60</f>
        <v>51456</v>
      </c>
    </row>
    <row r="6" spans="1:15" ht="25.5" x14ac:dyDescent="0.2">
      <c r="A6" s="85" t="s">
        <v>286</v>
      </c>
      <c r="B6" s="41" t="s">
        <v>288</v>
      </c>
      <c r="C6" s="142" t="s">
        <v>287</v>
      </c>
      <c r="D6" s="41" t="s">
        <v>281</v>
      </c>
      <c r="E6" s="89">
        <f>27804*0.6</f>
        <v>16682.399999999998</v>
      </c>
      <c r="F6" s="89">
        <f t="shared" si="0"/>
        <v>200188.79999999999</v>
      </c>
      <c r="G6" s="89">
        <f>INT(E6)*60</f>
        <v>1000920</v>
      </c>
      <c r="H6" s="138">
        <v>0.61</v>
      </c>
      <c r="I6" s="138">
        <v>10176.02</v>
      </c>
      <c r="J6" s="138">
        <f t="shared" si="2"/>
        <v>122112.24</v>
      </c>
      <c r="K6" s="138">
        <f t="shared" si="3"/>
        <v>610561.20000000007</v>
      </c>
      <c r="L6" s="154">
        <v>0.61</v>
      </c>
      <c r="M6" s="154">
        <f>INT(E6)*L6</f>
        <v>10176.02</v>
      </c>
      <c r="N6" s="154">
        <f t="shared" si="4"/>
        <v>122112.24</v>
      </c>
      <c r="O6" s="154">
        <f t="shared" si="5"/>
        <v>610561.20000000007</v>
      </c>
    </row>
    <row r="7" spans="1:15" ht="25.5" x14ac:dyDescent="0.2">
      <c r="A7" s="85" t="s">
        <v>289</v>
      </c>
      <c r="B7" s="41" t="s">
        <v>291</v>
      </c>
      <c r="C7" s="142" t="s">
        <v>290</v>
      </c>
      <c r="D7" s="41" t="s">
        <v>285</v>
      </c>
      <c r="E7" s="89">
        <f>27804*0.4</f>
        <v>11121.6</v>
      </c>
      <c r="F7" s="89">
        <f t="shared" si="0"/>
        <v>133459.20000000001</v>
      </c>
      <c r="G7" s="89">
        <v>667320</v>
      </c>
      <c r="H7" s="138">
        <v>0.32500000000000001</v>
      </c>
      <c r="I7" s="138">
        <v>3614.65</v>
      </c>
      <c r="J7" s="138">
        <f t="shared" si="2"/>
        <v>43375.8</v>
      </c>
      <c r="K7" s="138">
        <f t="shared" si="3"/>
        <v>216879</v>
      </c>
      <c r="L7" s="154">
        <v>0.3</v>
      </c>
      <c r="M7" s="154">
        <v>3336.6</v>
      </c>
      <c r="N7" s="154">
        <f t="shared" si="4"/>
        <v>40039.199999999997</v>
      </c>
      <c r="O7" s="154">
        <f t="shared" si="5"/>
        <v>200196</v>
      </c>
    </row>
    <row r="8" spans="1:15" ht="25.5" x14ac:dyDescent="0.2">
      <c r="A8" s="85">
        <v>5</v>
      </c>
      <c r="B8" s="41">
        <v>26638</v>
      </c>
      <c r="C8" s="142" t="s">
        <v>384</v>
      </c>
      <c r="D8" s="41" t="s">
        <v>285</v>
      </c>
      <c r="E8" s="89">
        <f>118*0.6</f>
        <v>70.8</v>
      </c>
      <c r="F8" s="89">
        <f t="shared" ref="F8:F9" si="6">E8*12</f>
        <v>849.59999999999991</v>
      </c>
      <c r="G8" s="89">
        <v>4260</v>
      </c>
      <c r="H8" s="187">
        <v>0.85319999999999996</v>
      </c>
      <c r="I8" s="187">
        <v>60.577199999999998</v>
      </c>
      <c r="J8" s="187">
        <f t="shared" si="2"/>
        <v>726.92639999999994</v>
      </c>
      <c r="K8" s="187">
        <f t="shared" si="3"/>
        <v>3634.6320000000001</v>
      </c>
      <c r="L8" s="154">
        <v>0.6</v>
      </c>
      <c r="M8" s="154">
        <v>42.6</v>
      </c>
      <c r="N8" s="154">
        <f t="shared" si="4"/>
        <v>511.20000000000005</v>
      </c>
      <c r="O8" s="154">
        <f t="shared" si="5"/>
        <v>2556</v>
      </c>
    </row>
    <row r="9" spans="1:15" ht="25.5" x14ac:dyDescent="0.2">
      <c r="A9" s="85">
        <v>6</v>
      </c>
      <c r="B9" s="41">
        <v>26719</v>
      </c>
      <c r="C9" s="142" t="s">
        <v>383</v>
      </c>
      <c r="D9" s="41" t="s">
        <v>285</v>
      </c>
      <c r="E9" s="89">
        <f>118*0.4</f>
        <v>47.2</v>
      </c>
      <c r="F9" s="89">
        <f t="shared" si="6"/>
        <v>566.40000000000009</v>
      </c>
      <c r="G9" s="89">
        <f>INT(E9)*60</f>
        <v>2820</v>
      </c>
      <c r="H9" s="187">
        <v>0.4</v>
      </c>
      <c r="I9" s="187">
        <f>INT(E9)*H9</f>
        <v>18.8</v>
      </c>
      <c r="J9" s="187">
        <f t="shared" si="2"/>
        <v>225.60000000000002</v>
      </c>
      <c r="K9" s="187">
        <f t="shared" si="3"/>
        <v>1128</v>
      </c>
      <c r="L9" s="154">
        <v>0.36</v>
      </c>
      <c r="M9" s="154">
        <v>16.920000000000002</v>
      </c>
      <c r="N9" s="154">
        <f t="shared" si="4"/>
        <v>203.04000000000002</v>
      </c>
      <c r="O9" s="154">
        <f t="shared" si="5"/>
        <v>1015.2</v>
      </c>
    </row>
    <row r="10" spans="1:15" x14ac:dyDescent="0.2">
      <c r="H10" s="143"/>
      <c r="I10" s="144">
        <f>SUM(I4:I9)</f>
        <v>19673.855200000002</v>
      </c>
      <c r="J10" s="144">
        <f>SUM(J4:J9)</f>
        <v>236086.26239999998</v>
      </c>
      <c r="K10" s="144">
        <f>SUM(K4:K9)</f>
        <v>1180431.3120000002</v>
      </c>
      <c r="L10" s="146"/>
      <c r="M10" s="155">
        <f>SUM(M4:M9)</f>
        <v>18288.939999999995</v>
      </c>
      <c r="N10" s="155">
        <f>SUM(N4:N9)</f>
        <v>219467.28</v>
      </c>
      <c r="O10" s="155">
        <f>SUM(O4:O9)</f>
        <v>1097336.4000000001</v>
      </c>
    </row>
    <row r="12" spans="1:15" ht="30" customHeight="1" x14ac:dyDescent="0.2">
      <c r="A12" s="265" t="s">
        <v>300</v>
      </c>
      <c r="B12" s="266"/>
      <c r="C12" s="266"/>
      <c r="D12" s="266"/>
      <c r="E12" s="266"/>
      <c r="F12" s="266"/>
      <c r="G12" s="266"/>
      <c r="H12" s="266"/>
      <c r="I12" s="266"/>
      <c r="J12" s="267"/>
    </row>
    <row r="13" spans="1:15" ht="38.25" x14ac:dyDescent="0.2">
      <c r="A13" s="136" t="s">
        <v>274</v>
      </c>
      <c r="B13" s="136" t="s">
        <v>276</v>
      </c>
      <c r="C13" s="136" t="s">
        <v>275</v>
      </c>
      <c r="D13" s="136" t="s">
        <v>277</v>
      </c>
      <c r="E13" s="136" t="s">
        <v>292</v>
      </c>
      <c r="F13" s="136" t="s">
        <v>293</v>
      </c>
      <c r="G13" s="137" t="s">
        <v>371</v>
      </c>
      <c r="H13" s="87" t="s">
        <v>295</v>
      </c>
      <c r="I13" s="87" t="s">
        <v>294</v>
      </c>
      <c r="J13" s="87" t="s">
        <v>357</v>
      </c>
      <c r="K13" s="87" t="s">
        <v>392</v>
      </c>
    </row>
    <row r="14" spans="1:15" x14ac:dyDescent="0.2">
      <c r="A14" s="46">
        <v>1</v>
      </c>
      <c r="B14" s="63">
        <v>26891</v>
      </c>
      <c r="C14" s="63" t="s">
        <v>306</v>
      </c>
      <c r="D14" s="46" t="s">
        <v>285</v>
      </c>
      <c r="E14" s="47">
        <v>53600</v>
      </c>
      <c r="F14" s="64">
        <f>E14*12</f>
        <v>643200</v>
      </c>
      <c r="G14" s="64">
        <f>E14*60</f>
        <v>3216000</v>
      </c>
      <c r="H14" s="138">
        <v>0.14499999999999999</v>
      </c>
      <c r="I14" s="139">
        <f>E14*H14</f>
        <v>7771.9999999999991</v>
      </c>
      <c r="J14" s="139">
        <f>I14*12</f>
        <v>93263.999999999985</v>
      </c>
      <c r="K14" s="139">
        <f>I14*60</f>
        <v>466319.99999999994</v>
      </c>
    </row>
    <row r="15" spans="1:15" x14ac:dyDescent="0.2">
      <c r="A15" s="46">
        <v>2</v>
      </c>
      <c r="B15" s="63">
        <v>26930</v>
      </c>
      <c r="C15" s="63" t="s">
        <v>307</v>
      </c>
      <c r="D15" s="46" t="s">
        <v>285</v>
      </c>
      <c r="E15" s="47">
        <v>27804</v>
      </c>
      <c r="F15" s="64">
        <f>E15*12</f>
        <v>333648</v>
      </c>
      <c r="G15" s="64">
        <f>E15*60</f>
        <v>1668240</v>
      </c>
      <c r="H15" s="138">
        <v>0.66</v>
      </c>
      <c r="I15" s="139">
        <f>E15*H15</f>
        <v>18350.64</v>
      </c>
      <c r="J15" s="139">
        <f>I15*12</f>
        <v>220207.68</v>
      </c>
      <c r="K15" s="139">
        <f t="shared" ref="K15:K16" si="7">I15*60</f>
        <v>1101038.3999999999</v>
      </c>
    </row>
    <row r="16" spans="1:15" x14ac:dyDescent="0.2">
      <c r="A16" s="166">
        <v>3</v>
      </c>
      <c r="B16" s="63">
        <v>26956</v>
      </c>
      <c r="C16" s="63" t="s">
        <v>386</v>
      </c>
      <c r="D16" s="166" t="s">
        <v>285</v>
      </c>
      <c r="E16" s="47">
        <v>118</v>
      </c>
      <c r="F16" s="64">
        <f>E16*12</f>
        <v>1416</v>
      </c>
      <c r="G16" s="64">
        <f>E16*60</f>
        <v>7080</v>
      </c>
      <c r="H16" s="138">
        <v>1.65</v>
      </c>
      <c r="I16" s="139">
        <f>E16*H16</f>
        <v>194.7</v>
      </c>
      <c r="J16" s="139">
        <f>I16*12</f>
        <v>2336.3999999999996</v>
      </c>
      <c r="K16" s="139">
        <f t="shared" si="7"/>
        <v>11682</v>
      </c>
    </row>
    <row r="17" spans="1:12" x14ac:dyDescent="0.2">
      <c r="H17" s="88"/>
      <c r="I17" s="140">
        <f>SUM(I14:I16)</f>
        <v>26317.34</v>
      </c>
      <c r="J17" s="140">
        <f>SUM(J14:J16)</f>
        <v>315808.08</v>
      </c>
      <c r="K17" s="140">
        <f>SUM(K14:K16)</f>
        <v>1579040.4</v>
      </c>
    </row>
    <row r="18" spans="1:12" x14ac:dyDescent="0.2">
      <c r="K18" s="156"/>
    </row>
    <row r="20" spans="1:12" ht="30" customHeight="1" x14ac:dyDescent="0.2">
      <c r="A20" s="265" t="s">
        <v>296</v>
      </c>
      <c r="B20" s="266"/>
      <c r="C20" s="266"/>
      <c r="D20" s="266"/>
      <c r="E20" s="266"/>
      <c r="F20" s="266"/>
      <c r="G20" s="266"/>
      <c r="H20" s="266"/>
      <c r="I20" s="266"/>
      <c r="J20" s="267"/>
    </row>
    <row r="21" spans="1:12" ht="38.25" x14ac:dyDescent="0.2">
      <c r="A21" s="136" t="s">
        <v>274</v>
      </c>
      <c r="B21" s="136" t="s">
        <v>276</v>
      </c>
      <c r="C21" s="136" t="s">
        <v>275</v>
      </c>
      <c r="D21" s="136" t="s">
        <v>277</v>
      </c>
      <c r="E21" s="136" t="s">
        <v>292</v>
      </c>
      <c r="F21" s="136" t="s">
        <v>293</v>
      </c>
      <c r="G21" s="137" t="s">
        <v>371</v>
      </c>
      <c r="H21" s="87" t="s">
        <v>295</v>
      </c>
      <c r="I21" s="87" t="s">
        <v>294</v>
      </c>
      <c r="J21" s="87" t="s">
        <v>357</v>
      </c>
      <c r="K21" s="87" t="s">
        <v>357</v>
      </c>
    </row>
    <row r="22" spans="1:12" x14ac:dyDescent="0.2">
      <c r="A22" s="135">
        <v>1</v>
      </c>
      <c r="B22" s="135">
        <v>26735</v>
      </c>
      <c r="C22" s="63" t="s">
        <v>301</v>
      </c>
      <c r="D22" s="135" t="s">
        <v>297</v>
      </c>
      <c r="E22" s="188">
        <v>26</v>
      </c>
      <c r="F22" s="86">
        <f>E22*12</f>
        <v>312</v>
      </c>
      <c r="G22" s="64">
        <f>E22*60</f>
        <v>1560</v>
      </c>
      <c r="H22" s="138">
        <v>163.55500000000001</v>
      </c>
      <c r="I22" s="138">
        <f>E22*H22</f>
        <v>4252.43</v>
      </c>
      <c r="J22" s="138">
        <f>I22*12</f>
        <v>51029.16</v>
      </c>
      <c r="K22" s="138">
        <f>I22*60</f>
        <v>255145.80000000002</v>
      </c>
      <c r="L22" s="156"/>
    </row>
    <row r="23" spans="1:12" x14ac:dyDescent="0.2">
      <c r="A23" s="135">
        <v>2</v>
      </c>
      <c r="B23" s="135">
        <v>26760</v>
      </c>
      <c r="C23" s="49" t="s">
        <v>302</v>
      </c>
      <c r="D23" s="135" t="s">
        <v>297</v>
      </c>
      <c r="E23" s="188">
        <v>26</v>
      </c>
      <c r="F23" s="86">
        <f t="shared" ref="F23:F26" si="8">E23*12</f>
        <v>312</v>
      </c>
      <c r="G23" s="64">
        <f t="shared" ref="G23:G26" si="9">E23*60</f>
        <v>1560</v>
      </c>
      <c r="H23" s="138">
        <v>398</v>
      </c>
      <c r="I23" s="138">
        <f t="shared" ref="I23:I27" si="10">E23*H23</f>
        <v>10348</v>
      </c>
      <c r="J23" s="138">
        <f t="shared" ref="J23:K27" si="11">I23*12</f>
        <v>124176</v>
      </c>
      <c r="K23" s="138">
        <f t="shared" ref="K23:K27" si="12">I23*60</f>
        <v>620880</v>
      </c>
      <c r="L23" s="156"/>
    </row>
    <row r="24" spans="1:12" x14ac:dyDescent="0.2">
      <c r="A24" s="135">
        <v>3</v>
      </c>
      <c r="B24" s="135">
        <v>26808</v>
      </c>
      <c r="C24" s="63" t="s">
        <v>303</v>
      </c>
      <c r="D24" s="135" t="s">
        <v>297</v>
      </c>
      <c r="E24" s="188">
        <v>1</v>
      </c>
      <c r="F24" s="86">
        <f t="shared" si="8"/>
        <v>12</v>
      </c>
      <c r="G24" s="64">
        <f t="shared" si="9"/>
        <v>60</v>
      </c>
      <c r="H24" s="138">
        <v>532.04999999999995</v>
      </c>
      <c r="I24" s="138">
        <f t="shared" si="10"/>
        <v>532.04999999999995</v>
      </c>
      <c r="J24" s="138">
        <f t="shared" si="11"/>
        <v>6384.5999999999995</v>
      </c>
      <c r="K24" s="138">
        <f t="shared" si="12"/>
        <v>31922.999999999996</v>
      </c>
      <c r="L24" s="157"/>
    </row>
    <row r="25" spans="1:12" x14ac:dyDescent="0.2">
      <c r="A25" s="135">
        <v>4</v>
      </c>
      <c r="B25" s="135">
        <v>26816</v>
      </c>
      <c r="C25" s="63" t="s">
        <v>304</v>
      </c>
      <c r="D25" s="135" t="s">
        <v>285</v>
      </c>
      <c r="E25" s="47">
        <v>53600</v>
      </c>
      <c r="F25" s="86">
        <f t="shared" si="8"/>
        <v>643200</v>
      </c>
      <c r="G25" s="64">
        <f t="shared" si="9"/>
        <v>3216000</v>
      </c>
      <c r="H25" s="138">
        <v>0.06</v>
      </c>
      <c r="I25" s="138">
        <f t="shared" si="10"/>
        <v>3216</v>
      </c>
      <c r="J25" s="138">
        <f t="shared" si="11"/>
        <v>38592</v>
      </c>
      <c r="K25" s="138">
        <f t="shared" si="12"/>
        <v>192960</v>
      </c>
      <c r="L25" s="156"/>
    </row>
    <row r="26" spans="1:12" x14ac:dyDescent="0.2">
      <c r="A26" s="46">
        <v>5</v>
      </c>
      <c r="B26" s="46">
        <v>26859</v>
      </c>
      <c r="C26" s="63" t="s">
        <v>305</v>
      </c>
      <c r="D26" s="46" t="s">
        <v>285</v>
      </c>
      <c r="E26" s="47">
        <v>27804</v>
      </c>
      <c r="F26" s="86">
        <f t="shared" si="8"/>
        <v>333648</v>
      </c>
      <c r="G26" s="64">
        <f t="shared" si="9"/>
        <v>1668240</v>
      </c>
      <c r="H26" s="138">
        <v>0.44</v>
      </c>
      <c r="I26" s="138">
        <f t="shared" si="10"/>
        <v>12233.76</v>
      </c>
      <c r="J26" s="138">
        <f t="shared" si="11"/>
        <v>146805.12</v>
      </c>
      <c r="K26" s="138">
        <f t="shared" si="12"/>
        <v>734025.6</v>
      </c>
      <c r="L26" s="156"/>
    </row>
    <row r="27" spans="1:12" x14ac:dyDescent="0.2">
      <c r="A27" s="166">
        <v>6</v>
      </c>
      <c r="B27" s="166">
        <v>26875</v>
      </c>
      <c r="C27" s="63" t="s">
        <v>385</v>
      </c>
      <c r="D27" s="166" t="s">
        <v>285</v>
      </c>
      <c r="E27" s="47">
        <v>118</v>
      </c>
      <c r="F27" s="86">
        <f t="shared" ref="F27" si="13">E27*12</f>
        <v>1416</v>
      </c>
      <c r="G27" s="64">
        <f t="shared" ref="G27" si="14">E27*60</f>
        <v>7080</v>
      </c>
      <c r="H27" s="138">
        <v>7.9</v>
      </c>
      <c r="I27" s="138">
        <f t="shared" si="10"/>
        <v>932.2</v>
      </c>
      <c r="J27" s="138">
        <f t="shared" si="11"/>
        <v>11186.400000000001</v>
      </c>
      <c r="K27" s="138">
        <f t="shared" si="12"/>
        <v>55932</v>
      </c>
      <c r="L27" s="156"/>
    </row>
    <row r="28" spans="1:12" x14ac:dyDescent="0.2">
      <c r="H28" s="141"/>
      <c r="I28" s="140">
        <f>SUM(I22:I27)</f>
        <v>31514.44</v>
      </c>
      <c r="J28" s="140">
        <f>SUM(J22:J27)</f>
        <v>378173.28</v>
      </c>
      <c r="K28" s="140">
        <f>SUM(K22:K27)</f>
        <v>1890866.4</v>
      </c>
      <c r="L28" s="156"/>
    </row>
    <row r="29" spans="1:12" x14ac:dyDescent="0.2">
      <c r="K29" s="156"/>
    </row>
    <row r="30" spans="1:12" x14ac:dyDescent="0.2">
      <c r="K30" s="156"/>
    </row>
    <row r="31" spans="1:12" ht="15" customHeight="1" x14ac:dyDescent="0.2">
      <c r="C31" s="258" t="s">
        <v>359</v>
      </c>
      <c r="D31" s="261" t="s">
        <v>360</v>
      </c>
      <c r="E31" s="262"/>
      <c r="F31" s="262"/>
      <c r="G31" s="262"/>
      <c r="H31" s="263"/>
      <c r="I31" s="147" t="s">
        <v>221</v>
      </c>
    </row>
    <row r="32" spans="1:12" ht="15" x14ac:dyDescent="0.2">
      <c r="C32" s="259"/>
      <c r="D32" s="147" t="s">
        <v>361</v>
      </c>
      <c r="E32" s="147" t="s">
        <v>363</v>
      </c>
      <c r="F32" s="147" t="s">
        <v>364</v>
      </c>
      <c r="G32" s="147" t="s">
        <v>365</v>
      </c>
      <c r="H32" s="147" t="s">
        <v>366</v>
      </c>
      <c r="I32" s="149" t="s">
        <v>358</v>
      </c>
    </row>
    <row r="33" spans="3:9" ht="15" x14ac:dyDescent="0.2">
      <c r="C33" s="260"/>
      <c r="D33" s="148" t="s">
        <v>362</v>
      </c>
      <c r="E33" s="148" t="s">
        <v>362</v>
      </c>
      <c r="F33" s="148" t="s">
        <v>362</v>
      </c>
      <c r="G33" s="148" t="s">
        <v>362</v>
      </c>
      <c r="H33" s="148" t="s">
        <v>362</v>
      </c>
      <c r="I33" s="150"/>
    </row>
    <row r="34" spans="3:9" ht="45" x14ac:dyDescent="0.2">
      <c r="C34" s="195" t="s">
        <v>367</v>
      </c>
      <c r="D34" s="196">
        <f>J10</f>
        <v>236086.26239999998</v>
      </c>
      <c r="E34" s="193">
        <f>D34+(D34*1.71%)</f>
        <v>240123.33748703997</v>
      </c>
      <c r="F34" s="193">
        <f>E34+(E34*1.71%)</f>
        <v>244229.44655806836</v>
      </c>
      <c r="G34" s="193">
        <f>F34+(F34*1.71%)</f>
        <v>248405.77009421133</v>
      </c>
      <c r="H34" s="193">
        <f>G34+(G34*1.71%)</f>
        <v>252653.50876282234</v>
      </c>
      <c r="I34" s="194">
        <f>SUM(D34:H34)</f>
        <v>1221498.325302142</v>
      </c>
    </row>
    <row r="35" spans="3:9" ht="45" x14ac:dyDescent="0.2">
      <c r="C35" s="151" t="s">
        <v>368</v>
      </c>
      <c r="D35" s="160">
        <f>J17</f>
        <v>315808.08</v>
      </c>
      <c r="E35" s="152">
        <f t="shared" ref="E35:H37" si="15">D35+(D35*1.71%)</f>
        <v>321208.39816800004</v>
      </c>
      <c r="F35" s="152">
        <f t="shared" si="15"/>
        <v>326701.06177667284</v>
      </c>
      <c r="G35" s="152">
        <f t="shared" si="15"/>
        <v>332287.64993305394</v>
      </c>
      <c r="H35" s="152">
        <f t="shared" si="15"/>
        <v>337969.76874690916</v>
      </c>
      <c r="I35" s="153">
        <f t="shared" ref="I35:I37" si="16">SUM(D35:H35)</f>
        <v>1633974.9586246361</v>
      </c>
    </row>
    <row r="36" spans="3:9" ht="60" x14ac:dyDescent="0.2">
      <c r="C36" s="158" t="s">
        <v>369</v>
      </c>
      <c r="D36" s="161">
        <f>J28</f>
        <v>378173.28</v>
      </c>
      <c r="E36" s="159">
        <f t="shared" si="15"/>
        <v>384640.04308800003</v>
      </c>
      <c r="F36" s="159">
        <f t="shared" si="15"/>
        <v>391217.38782480481</v>
      </c>
      <c r="G36" s="152">
        <f t="shared" si="15"/>
        <v>397907.20515660895</v>
      </c>
      <c r="H36" s="152">
        <f t="shared" si="15"/>
        <v>404711.41836478695</v>
      </c>
      <c r="I36" s="153">
        <f t="shared" si="16"/>
        <v>1956649.3344342008</v>
      </c>
    </row>
    <row r="37" spans="3:9" ht="25.5" x14ac:dyDescent="0.2">
      <c r="C37" s="189" t="s">
        <v>372</v>
      </c>
      <c r="D37" s="190">
        <f>N10</f>
        <v>219467.28</v>
      </c>
      <c r="E37" s="191">
        <f t="shared" si="15"/>
        <v>223220.170488</v>
      </c>
      <c r="F37" s="191">
        <f t="shared" si="15"/>
        <v>227037.23540334479</v>
      </c>
      <c r="G37" s="192">
        <f t="shared" si="15"/>
        <v>230919.572128742</v>
      </c>
      <c r="H37" s="193">
        <f t="shared" si="15"/>
        <v>234868.2968121435</v>
      </c>
      <c r="I37" s="194">
        <f t="shared" si="16"/>
        <v>1135512.5548322303</v>
      </c>
    </row>
    <row r="38" spans="3:9" x14ac:dyDescent="0.2">
      <c r="C38" s="71" t="s">
        <v>388</v>
      </c>
    </row>
  </sheetData>
  <mergeCells count="6">
    <mergeCell ref="C31:C33"/>
    <mergeCell ref="D31:H31"/>
    <mergeCell ref="L2:O2"/>
    <mergeCell ref="A20:J20"/>
    <mergeCell ref="A12:J12"/>
    <mergeCell ref="A2:K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H13" sqref="H13"/>
    </sheetView>
  </sheetViews>
  <sheetFormatPr defaultRowHeight="15" x14ac:dyDescent="0.25"/>
  <cols>
    <col min="1" max="1" width="26.85546875" customWidth="1"/>
    <col min="2" max="2" width="23.7109375" customWidth="1"/>
    <col min="3" max="3" width="23.7109375" style="48" customWidth="1"/>
    <col min="4" max="4" width="17.42578125" customWidth="1"/>
    <col min="5" max="5" width="22.7109375" customWidth="1"/>
    <col min="6" max="6" width="22.7109375" style="48" customWidth="1"/>
    <col min="7" max="7" width="19.85546875" customWidth="1"/>
    <col min="8" max="8" width="15.5703125" customWidth="1"/>
  </cols>
  <sheetData>
    <row r="1" spans="1:8" ht="38.25" x14ac:dyDescent="0.25">
      <c r="A1" s="271" t="s">
        <v>211</v>
      </c>
      <c r="B1" s="44" t="s">
        <v>267</v>
      </c>
      <c r="C1" s="50"/>
      <c r="D1" s="270" t="s">
        <v>348</v>
      </c>
      <c r="E1" s="270" t="s">
        <v>355</v>
      </c>
      <c r="F1" s="270" t="s">
        <v>356</v>
      </c>
      <c r="G1" s="270" t="s">
        <v>217</v>
      </c>
    </row>
    <row r="2" spans="1:8" x14ac:dyDescent="0.25">
      <c r="A2" s="271"/>
      <c r="B2" s="44" t="s">
        <v>212</v>
      </c>
      <c r="C2" s="50" t="s">
        <v>354</v>
      </c>
      <c r="D2" s="270"/>
      <c r="E2" s="270"/>
      <c r="F2" s="270"/>
      <c r="G2" s="270"/>
    </row>
    <row r="3" spans="1:8" ht="26.25" x14ac:dyDescent="0.25">
      <c r="A3" s="45" t="s">
        <v>213</v>
      </c>
      <c r="B3" s="197">
        <v>102922</v>
      </c>
      <c r="C3" s="41">
        <v>55578</v>
      </c>
      <c r="D3" s="42">
        <f>'Contrato 29-2018'!AM68</f>
        <v>40606.34696969697</v>
      </c>
      <c r="E3" s="51">
        <f>(D3-B3)/B3</f>
        <v>-0.60546484746024198</v>
      </c>
      <c r="F3" s="51">
        <f>(D3-C3)/C3</f>
        <v>-0.26938092465189517</v>
      </c>
      <c r="G3" s="43" t="s">
        <v>349</v>
      </c>
      <c r="H3" s="59"/>
    </row>
    <row r="4" spans="1:8" ht="26.25" x14ac:dyDescent="0.25">
      <c r="A4" s="45" t="s">
        <v>214</v>
      </c>
      <c r="B4" s="162">
        <v>25730</v>
      </c>
      <c r="C4" s="41">
        <v>15438</v>
      </c>
      <c r="D4" s="42">
        <f>'Contrato 29-2018'!AN68</f>
        <v>21063.585984848487</v>
      </c>
      <c r="E4" s="51">
        <f t="shared" ref="E4" si="0">(D4-B4)/B4</f>
        <v>-0.18136082452979063</v>
      </c>
      <c r="F4" s="198">
        <f t="shared" ref="F4" si="1">(D4-C4)/C4</f>
        <v>0.36439862578368226</v>
      </c>
      <c r="G4" s="43" t="s">
        <v>350</v>
      </c>
    </row>
    <row r="5" spans="1:8" ht="26.25" x14ac:dyDescent="0.25">
      <c r="A5" s="45" t="s">
        <v>215</v>
      </c>
      <c r="B5" s="85">
        <v>0</v>
      </c>
      <c r="C5" s="85">
        <v>0</v>
      </c>
      <c r="D5" s="89">
        <f>'Contrato 29-2018'!AM71</f>
        <v>26.466666666666665</v>
      </c>
      <c r="E5" s="51"/>
      <c r="F5" s="51"/>
      <c r="G5" s="43" t="s">
        <v>351</v>
      </c>
    </row>
    <row r="6" spans="1:8" ht="26.25" x14ac:dyDescent="0.25">
      <c r="A6" s="45" t="s">
        <v>216</v>
      </c>
      <c r="B6" s="85">
        <v>0</v>
      </c>
      <c r="C6" s="85">
        <v>0</v>
      </c>
      <c r="D6" s="89">
        <f>'Contrato 29-2018'!AN71</f>
        <v>63.266666666666666</v>
      </c>
      <c r="E6" s="51"/>
      <c r="F6" s="51"/>
      <c r="G6" s="43" t="s">
        <v>352</v>
      </c>
    </row>
    <row r="7" spans="1:8" ht="25.5" customHeight="1" x14ac:dyDescent="0.25">
      <c r="A7" s="268" t="s">
        <v>353</v>
      </c>
      <c r="B7" s="269"/>
      <c r="C7" s="269"/>
      <c r="D7" s="269"/>
      <c r="E7" s="269"/>
      <c r="F7" s="269"/>
      <c r="G7" s="269"/>
    </row>
    <row r="11" spans="1:8" x14ac:dyDescent="0.25">
      <c r="C11" s="163"/>
      <c r="D11" s="48"/>
    </row>
    <row r="12" spans="1:8" x14ac:dyDescent="0.25">
      <c r="C12" s="163"/>
    </row>
  </sheetData>
  <mergeCells count="6">
    <mergeCell ref="A7:G7"/>
    <mergeCell ref="F1:F2"/>
    <mergeCell ref="A1:A2"/>
    <mergeCell ref="D1:D2"/>
    <mergeCell ref="E1:E2"/>
    <mergeCell ref="G1:G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G39" sqref="G39"/>
    </sheetView>
  </sheetViews>
  <sheetFormatPr defaultColWidth="9.140625" defaultRowHeight="12.75" x14ac:dyDescent="0.2"/>
  <cols>
    <col min="1" max="1" width="45.140625" style="71" customWidth="1"/>
    <col min="2" max="2" width="28" style="71" customWidth="1"/>
    <col min="3" max="16384" width="9.140625" style="71"/>
  </cols>
  <sheetData>
    <row r="1" spans="1:2" x14ac:dyDescent="0.2">
      <c r="A1" s="90" t="s">
        <v>166</v>
      </c>
      <c r="B1" s="90" t="s">
        <v>157</v>
      </c>
    </row>
    <row r="2" spans="1:2" x14ac:dyDescent="0.2">
      <c r="A2" s="91" t="s">
        <v>158</v>
      </c>
      <c r="B2" s="92">
        <v>463</v>
      </c>
    </row>
    <row r="3" spans="1:2" x14ac:dyDescent="0.2">
      <c r="A3" s="93" t="s">
        <v>159</v>
      </c>
      <c r="B3" s="94">
        <v>23</v>
      </c>
    </row>
    <row r="4" spans="1:2" x14ac:dyDescent="0.2">
      <c r="A4" s="91" t="s">
        <v>160</v>
      </c>
      <c r="B4" s="92">
        <v>50</v>
      </c>
    </row>
    <row r="5" spans="1:2" x14ac:dyDescent="0.2">
      <c r="A5" s="91" t="s">
        <v>161</v>
      </c>
      <c r="B5" s="92">
        <v>213</v>
      </c>
    </row>
    <row r="6" spans="1:2" x14ac:dyDescent="0.2">
      <c r="A6" s="93" t="s">
        <v>162</v>
      </c>
      <c r="B6" s="94">
        <v>86</v>
      </c>
    </row>
    <row r="7" spans="1:2" x14ac:dyDescent="0.2">
      <c r="A7" s="91" t="s">
        <v>163</v>
      </c>
      <c r="B7" s="92">
        <v>25</v>
      </c>
    </row>
    <row r="8" spans="1:2" x14ac:dyDescent="0.2">
      <c r="A8" s="91" t="s">
        <v>164</v>
      </c>
      <c r="B8" s="92">
        <v>751</v>
      </c>
    </row>
    <row r="9" spans="1:2" x14ac:dyDescent="0.2">
      <c r="A9" s="93" t="s">
        <v>165</v>
      </c>
      <c r="B9" s="94">
        <v>109</v>
      </c>
    </row>
    <row r="10" spans="1:2" x14ac:dyDescent="0.2">
      <c r="A10" s="95" t="s">
        <v>167</v>
      </c>
      <c r="B10" s="90">
        <f>B2+B4+B5+B7</f>
        <v>751</v>
      </c>
    </row>
    <row r="11" spans="1:2" x14ac:dyDescent="0.2">
      <c r="A11" s="71" t="s">
        <v>168</v>
      </c>
    </row>
  </sheetData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F17" sqref="F17"/>
    </sheetView>
  </sheetViews>
  <sheetFormatPr defaultRowHeight="15" x14ac:dyDescent="0.25"/>
  <cols>
    <col min="1" max="1" width="8" bestFit="1" customWidth="1"/>
    <col min="2" max="2" width="4.7109375" bestFit="1" customWidth="1"/>
    <col min="3" max="3" width="27.140625" bestFit="1" customWidth="1"/>
    <col min="4" max="4" width="16" bestFit="1" customWidth="1"/>
    <col min="5" max="5" width="12.7109375" bestFit="1" customWidth="1"/>
    <col min="6" max="6" width="15.85546875" customWidth="1"/>
    <col min="7" max="7" width="19.7109375" customWidth="1"/>
  </cols>
  <sheetData>
    <row r="1" spans="1:7" x14ac:dyDescent="0.25">
      <c r="A1" s="71"/>
      <c r="B1" s="71"/>
      <c r="C1" s="71"/>
      <c r="D1" s="71"/>
      <c r="E1" s="71"/>
      <c r="F1" s="71"/>
      <c r="G1" s="71"/>
    </row>
    <row r="2" spans="1:7" x14ac:dyDescent="0.25">
      <c r="A2" s="99" t="s">
        <v>169</v>
      </c>
      <c r="B2" s="99" t="s">
        <v>156</v>
      </c>
      <c r="C2" s="99" t="s">
        <v>170</v>
      </c>
      <c r="D2" s="99" t="s">
        <v>171</v>
      </c>
      <c r="E2" s="99" t="s">
        <v>172</v>
      </c>
      <c r="F2" s="99" t="s">
        <v>173</v>
      </c>
      <c r="G2" s="99" t="s">
        <v>174</v>
      </c>
    </row>
    <row r="3" spans="1:7" x14ac:dyDescent="0.25">
      <c r="A3" s="96">
        <v>8247</v>
      </c>
      <c r="B3" s="96">
        <v>179</v>
      </c>
      <c r="C3" s="46" t="s">
        <v>175</v>
      </c>
      <c r="D3" s="46" t="s">
        <v>176</v>
      </c>
      <c r="E3" s="63" t="s">
        <v>177</v>
      </c>
      <c r="F3" s="97">
        <v>44606</v>
      </c>
      <c r="G3" s="98">
        <v>44593</v>
      </c>
    </row>
    <row r="4" spans="1:7" x14ac:dyDescent="0.25">
      <c r="A4" s="96">
        <v>8247</v>
      </c>
      <c r="B4" s="96">
        <v>159</v>
      </c>
      <c r="C4" s="46" t="s">
        <v>175</v>
      </c>
      <c r="D4" s="46" t="s">
        <v>53</v>
      </c>
      <c r="E4" s="63" t="s">
        <v>178</v>
      </c>
      <c r="F4" s="97">
        <v>44900</v>
      </c>
      <c r="G4" s="98">
        <v>44896</v>
      </c>
    </row>
    <row r="5" spans="1:7" x14ac:dyDescent="0.25">
      <c r="A5" s="96">
        <v>8247</v>
      </c>
      <c r="B5" s="96">
        <v>163</v>
      </c>
      <c r="C5" s="46" t="s">
        <v>175</v>
      </c>
      <c r="D5" s="46" t="s">
        <v>42</v>
      </c>
      <c r="E5" s="63" t="s">
        <v>179</v>
      </c>
      <c r="F5" s="97">
        <v>45098</v>
      </c>
      <c r="G5" s="98">
        <v>45078</v>
      </c>
    </row>
    <row r="6" spans="1:7" x14ac:dyDescent="0.25">
      <c r="A6" s="96">
        <v>8247</v>
      </c>
      <c r="B6" s="96">
        <v>128</v>
      </c>
      <c r="C6" s="46" t="s">
        <v>175</v>
      </c>
      <c r="D6" s="46" t="s">
        <v>180</v>
      </c>
      <c r="E6" s="63" t="s">
        <v>181</v>
      </c>
      <c r="F6" s="97">
        <v>45098</v>
      </c>
      <c r="G6" s="98">
        <v>45078</v>
      </c>
    </row>
    <row r="7" spans="1:7" x14ac:dyDescent="0.25">
      <c r="A7" s="96">
        <v>8247</v>
      </c>
      <c r="B7" s="96">
        <v>150</v>
      </c>
      <c r="C7" s="46" t="s">
        <v>175</v>
      </c>
      <c r="D7" s="46" t="s">
        <v>27</v>
      </c>
      <c r="E7" s="63" t="s">
        <v>181</v>
      </c>
      <c r="F7" s="97">
        <v>45153</v>
      </c>
      <c r="G7" s="98">
        <v>45139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A95EF4E01E1A498CD9F111A379171F" ma:contentTypeVersion="16" ma:contentTypeDescription="Create a new document." ma:contentTypeScope="" ma:versionID="50a56f73327c797340cfbc92c97666aa">
  <xsd:schema xmlns:xsd="http://www.w3.org/2001/XMLSchema" xmlns:xs="http://www.w3.org/2001/XMLSchema" xmlns:p="http://schemas.microsoft.com/office/2006/metadata/properties" xmlns:ns3="d15a3392-e123-473e-811c-7cd59aba1ea6" xmlns:ns4="eb9ede27-6f40-405f-be8c-45fcf3f22fcb" targetNamespace="http://schemas.microsoft.com/office/2006/metadata/properties" ma:root="true" ma:fieldsID="cdc486f4b378094502851b80352a0e78" ns3:_="" ns4:_="">
    <xsd:import namespace="d15a3392-e123-473e-811c-7cd59aba1ea6"/>
    <xsd:import namespace="eb9ede27-6f40-405f-be8c-45fcf3f22fc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Location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5a3392-e123-473e-811c-7cd59aba1ea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9ede27-6f40-405f-be8c-45fcf3f22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Length (seconds)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b9ede27-6f40-405f-be8c-45fcf3f22fcb" xsi:nil="true"/>
  </documentManagement>
</p:properties>
</file>

<file path=customXml/itemProps1.xml><?xml version="1.0" encoding="utf-8"?>
<ds:datastoreItem xmlns:ds="http://schemas.openxmlformats.org/officeDocument/2006/customXml" ds:itemID="{EE21D5BE-ECFF-4F14-B39E-F185ECDBD2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5a3392-e123-473e-811c-7cd59aba1ea6"/>
    <ds:schemaRef ds:uri="eb9ede27-6f40-405f-be8c-45fcf3f22f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70FBC5-F08D-43C7-AE31-BB25F44042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CAD8E4-3E3A-4EF0-BBDB-1753A3CBB3EB}">
  <ds:schemaRefs>
    <ds:schemaRef ds:uri="eb9ede27-6f40-405f-be8c-45fcf3f22fcb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15a3392-e123-473e-811c-7cd59aba1ea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Contrato 29-2018</vt:lpstr>
      <vt:lpstr>Histórico Consumo CT 29.2018</vt:lpstr>
      <vt:lpstr>Distribuição atual por setor</vt:lpstr>
      <vt:lpstr>Proposta de Distribuição</vt:lpstr>
      <vt:lpstr>Pesquisa de Preços para ETP</vt:lpstr>
      <vt:lpstr>Contrato X Consumo</vt:lpstr>
      <vt:lpstr>Qtde usuários MME</vt:lpstr>
      <vt:lpstr>Movimentações Físicas</vt:lpstr>
      <vt:lpstr>'Contrato 29-2018'!Area_de_impressao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Delis De Almeida Soares</dc:creator>
  <cp:lastModifiedBy>Nubian</cp:lastModifiedBy>
  <cp:lastPrinted>2024-03-20T22:54:58Z</cp:lastPrinted>
  <dcterms:created xsi:type="dcterms:W3CDTF">2023-08-22T09:57:30Z</dcterms:created>
  <dcterms:modified xsi:type="dcterms:W3CDTF">2024-05-15T00:04:16Z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0x010100FBA95EF4E01E1A498CD9F111A379171F</vt:lpwstr>
  </property>
</Properties>
</file>